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rrazzo\Desktop\Progetto definitivo\"/>
    </mc:Choice>
  </mc:AlternateContent>
  <bookViews>
    <workbookView xWindow="285" yWindow="30" windowWidth="8535" windowHeight="1830" activeTab="2"/>
  </bookViews>
  <sheets>
    <sheet name="carichi unitari" sheetId="1" r:id="rId1"/>
    <sheet name="masse e forze" sheetId="2" r:id="rId2"/>
    <sheet name="car.sollecitazione" sheetId="3" r:id="rId3"/>
    <sheet name="rigidezze" sheetId="4" r:id="rId4"/>
    <sheet name="bilanc.rigidezze I" sheetId="5" r:id="rId5"/>
    <sheet name="bilanc.rigid piano interrato" sheetId="6" r:id="rId6"/>
    <sheet name="bilanci rigi IV impalcato" sheetId="7" r:id="rId7"/>
    <sheet name="Centro di rigidezza" sheetId="8" r:id="rId8"/>
    <sheet name="masse e forze direzione x" sheetId="9" r:id="rId9"/>
    <sheet name="car.sollecitazione  direzione x" sheetId="10" r:id="rId10"/>
    <sheet name="masse e forze direzione y" sheetId="11" r:id="rId11"/>
    <sheet name="car.sollecitazione direzione y" sheetId="12" r:id="rId12"/>
    <sheet name="Confronti" sheetId="13" r:id="rId13"/>
    <sheet name="Confronti rigidezze telai x" sheetId="14" r:id="rId14"/>
    <sheet name="Confronto rigidezze telai y" sheetId="15" r:id="rId15"/>
  </sheets>
  <calcPr calcId="152511"/>
</workbook>
</file>

<file path=xl/calcChain.xml><?xml version="1.0" encoding="utf-8"?>
<calcChain xmlns="http://schemas.openxmlformats.org/spreadsheetml/2006/main">
  <c r="D79" i="13" l="1"/>
  <c r="I7" i="8"/>
  <c r="I8" i="8"/>
  <c r="I6" i="8"/>
  <c r="G9" i="8" l="1"/>
  <c r="H9" i="8"/>
  <c r="C124" i="13" l="1"/>
  <c r="C125" i="13"/>
  <c r="C126" i="13"/>
  <c r="C127" i="13"/>
  <c r="C128" i="13"/>
  <c r="C123" i="13"/>
  <c r="C116" i="13"/>
  <c r="C114" i="13"/>
  <c r="D111" i="13"/>
  <c r="C115" i="13" s="1"/>
  <c r="I92" i="13"/>
  <c r="C118" i="13" l="1"/>
  <c r="C119" i="13"/>
  <c r="C117" i="13"/>
  <c r="D75" i="13" l="1"/>
  <c r="D76" i="13"/>
  <c r="D77" i="13"/>
  <c r="D78" i="13"/>
  <c r="D74" i="13"/>
  <c r="D69" i="13"/>
  <c r="D68" i="13"/>
  <c r="D67" i="13"/>
  <c r="D66" i="13"/>
  <c r="D65" i="13"/>
  <c r="D64" i="13"/>
  <c r="G61" i="6"/>
  <c r="E66" i="6"/>
  <c r="E71" i="6"/>
  <c r="C71" i="6"/>
  <c r="C76" i="6"/>
  <c r="K76" i="6" s="1"/>
  <c r="C37" i="6"/>
  <c r="K19" i="6" s="1"/>
  <c r="C37" i="7"/>
  <c r="C76" i="7"/>
  <c r="K19" i="7"/>
  <c r="G48" i="5"/>
  <c r="K48" i="5" s="1"/>
  <c r="G61" i="5"/>
  <c r="I58" i="5" s="1"/>
  <c r="E71" i="5"/>
  <c r="C66" i="5"/>
  <c r="C71" i="5"/>
  <c r="K53" i="5" s="1"/>
  <c r="C76" i="5"/>
  <c r="K76" i="5" s="1"/>
  <c r="G22" i="7"/>
  <c r="C22" i="7"/>
  <c r="K9" i="7" s="1"/>
  <c r="G37" i="7"/>
  <c r="I37" i="7" s="1"/>
  <c r="E37" i="7"/>
  <c r="I9" i="7" s="1"/>
  <c r="H6" i="8"/>
  <c r="H7" i="8"/>
  <c r="H8" i="8"/>
  <c r="H5" i="8"/>
  <c r="K9" i="6"/>
  <c r="G22" i="6"/>
  <c r="K37" i="6"/>
  <c r="E37" i="6"/>
  <c r="I9" i="6" s="1"/>
  <c r="C37" i="5"/>
  <c r="K37" i="5" s="1"/>
  <c r="D6" i="4"/>
  <c r="E37" i="5" s="1"/>
  <c r="C22" i="6" l="1"/>
  <c r="G9" i="6" s="1"/>
  <c r="G66" i="5"/>
  <c r="K58" i="5"/>
  <c r="I71" i="5"/>
  <c r="K66" i="5"/>
  <c r="G58" i="5"/>
  <c r="I53" i="5"/>
  <c r="E22" i="5"/>
  <c r="G37" i="5"/>
  <c r="I37" i="5" s="1"/>
  <c r="C22" i="5"/>
  <c r="G22" i="5"/>
  <c r="G37" i="6"/>
  <c r="I37" i="6" s="1"/>
  <c r="E22" i="6"/>
  <c r="I19" i="6" s="1"/>
  <c r="E22" i="7"/>
  <c r="I19" i="7"/>
  <c r="C61" i="5"/>
  <c r="G71" i="5"/>
  <c r="K71" i="5"/>
  <c r="I66" i="5"/>
  <c r="G53" i="5"/>
  <c r="E76" i="5"/>
  <c r="I76" i="5"/>
  <c r="I48" i="5"/>
  <c r="E76" i="6"/>
  <c r="I76" i="6"/>
  <c r="G76" i="5"/>
  <c r="G76" i="6"/>
  <c r="K37" i="7"/>
  <c r="G19" i="7"/>
  <c r="G9" i="7"/>
  <c r="G43" i="13"/>
  <c r="F43" i="13"/>
  <c r="E43" i="13"/>
  <c r="G19" i="6" l="1"/>
  <c r="K19" i="5"/>
  <c r="K9" i="5" s="1"/>
  <c r="G9" i="5"/>
  <c r="G19" i="5"/>
  <c r="I19" i="5"/>
  <c r="I9" i="5"/>
  <c r="D13" i="12"/>
  <c r="D12" i="12"/>
  <c r="D11" i="12"/>
  <c r="D10" i="12"/>
  <c r="D9" i="12"/>
  <c r="D8" i="12"/>
  <c r="D7" i="12"/>
  <c r="C24" i="11"/>
  <c r="C23" i="11" s="1"/>
  <c r="C22" i="11" s="1"/>
  <c r="C21" i="11" s="1"/>
  <c r="C20" i="11" s="1"/>
  <c r="D7" i="11"/>
  <c r="B25" i="11" s="1"/>
  <c r="D25" i="11" s="1"/>
  <c r="D6" i="11"/>
  <c r="B24" i="11" s="1"/>
  <c r="D24" i="11" s="1"/>
  <c r="D5" i="11"/>
  <c r="B23" i="11" s="1"/>
  <c r="D23" i="11" s="1"/>
  <c r="D4" i="11"/>
  <c r="B22" i="11" s="1"/>
  <c r="D22" i="11" s="1"/>
  <c r="D3" i="11"/>
  <c r="E3" i="11" s="1"/>
  <c r="D2" i="11"/>
  <c r="B20" i="11" s="1"/>
  <c r="D20" i="11" s="1"/>
  <c r="D13" i="10"/>
  <c r="D12" i="10"/>
  <c r="D11" i="10"/>
  <c r="D10" i="10"/>
  <c r="D9" i="10"/>
  <c r="D8" i="10"/>
  <c r="D7" i="10"/>
  <c r="C24" i="9"/>
  <c r="C23" i="9" s="1"/>
  <c r="C22" i="9" s="1"/>
  <c r="C21" i="9" s="1"/>
  <c r="C20" i="9" s="1"/>
  <c r="D7" i="9"/>
  <c r="B25" i="9" s="1"/>
  <c r="D25" i="9" s="1"/>
  <c r="D6" i="9"/>
  <c r="B24" i="9" s="1"/>
  <c r="D24" i="9" s="1"/>
  <c r="D5" i="9"/>
  <c r="B23" i="9" s="1"/>
  <c r="D4" i="9"/>
  <c r="E4" i="9" s="1"/>
  <c r="B87" i="13" s="1"/>
  <c r="D3" i="9"/>
  <c r="B21" i="9" s="1"/>
  <c r="D2" i="9"/>
  <c r="E2" i="9" s="1"/>
  <c r="B85" i="13" s="1"/>
  <c r="G48" i="7"/>
  <c r="I48" i="7" s="1"/>
  <c r="K48" i="7" s="1"/>
  <c r="G53" i="7"/>
  <c r="I53" i="7" s="1"/>
  <c r="G61" i="7"/>
  <c r="G58" i="7" s="1"/>
  <c r="I58" i="7" s="1"/>
  <c r="K58" i="7" s="1"/>
  <c r="E61" i="7"/>
  <c r="C61" i="7"/>
  <c r="E66" i="7"/>
  <c r="G71" i="7"/>
  <c r="I71" i="7" s="1"/>
  <c r="K71" i="7" s="1"/>
  <c r="E71" i="7"/>
  <c r="C71" i="7"/>
  <c r="C66" i="7" s="1"/>
  <c r="G66" i="7" s="1"/>
  <c r="I66" i="7" s="1"/>
  <c r="K66" i="7" s="1"/>
  <c r="E76" i="7"/>
  <c r="G76" i="7" s="1"/>
  <c r="I76" i="7" s="1"/>
  <c r="K76" i="7" s="1"/>
  <c r="K48" i="6"/>
  <c r="I48" i="6"/>
  <c r="G48" i="6"/>
  <c r="K53" i="6"/>
  <c r="I53" i="6"/>
  <c r="G53" i="6"/>
  <c r="K58" i="6"/>
  <c r="I58" i="6"/>
  <c r="G58" i="6"/>
  <c r="E61" i="6"/>
  <c r="C61" i="6"/>
  <c r="K66" i="6"/>
  <c r="I66" i="6"/>
  <c r="G66" i="6"/>
  <c r="C66" i="6"/>
  <c r="K71" i="6"/>
  <c r="I71" i="6"/>
  <c r="G71" i="6"/>
  <c r="K53" i="7" l="1"/>
  <c r="B21" i="11"/>
  <c r="D21" i="11" s="1"/>
  <c r="D21" i="9"/>
  <c r="D23" i="9"/>
  <c r="E2" i="11"/>
  <c r="E4" i="11"/>
  <c r="E5" i="11"/>
  <c r="E6" i="11"/>
  <c r="E7" i="11"/>
  <c r="D26" i="11"/>
  <c r="D8" i="11"/>
  <c r="D8" i="9"/>
  <c r="B20" i="9"/>
  <c r="D20" i="9" s="1"/>
  <c r="B22" i="9"/>
  <c r="D22" i="9" s="1"/>
  <c r="E3" i="9"/>
  <c r="B86" i="13" s="1"/>
  <c r="E5" i="9"/>
  <c r="B88" i="13" s="1"/>
  <c r="E6" i="9"/>
  <c r="B89" i="13" s="1"/>
  <c r="E7" i="9"/>
  <c r="B90" i="13" s="1"/>
  <c r="B99" i="13" l="1"/>
  <c r="B104" i="13"/>
  <c r="B15" i="11"/>
  <c r="E20" i="11" s="1"/>
  <c r="E8" i="11"/>
  <c r="E25" i="11"/>
  <c r="C104" i="13" s="1"/>
  <c r="B15" i="9"/>
  <c r="E8" i="9"/>
  <c r="D26" i="9"/>
  <c r="K14" i="4"/>
  <c r="K28" i="4" s="1"/>
  <c r="K41" i="4" s="1"/>
  <c r="B128" i="13" l="1"/>
  <c r="D128" i="13" s="1"/>
  <c r="F20" i="11"/>
  <c r="C99" i="13"/>
  <c r="B101" i="13"/>
  <c r="B103" i="13"/>
  <c r="B102" i="13"/>
  <c r="B100" i="13"/>
  <c r="E24" i="11"/>
  <c r="C103" i="13" s="1"/>
  <c r="E22" i="9"/>
  <c r="C87" i="13" s="1"/>
  <c r="B116" i="13" s="1"/>
  <c r="D116" i="13" s="1"/>
  <c r="B7" i="12"/>
  <c r="E22" i="11"/>
  <c r="C101" i="13" s="1"/>
  <c r="E23" i="11"/>
  <c r="C102" i="13" s="1"/>
  <c r="E21" i="11"/>
  <c r="E23" i="9"/>
  <c r="C88" i="13" s="1"/>
  <c r="B117" i="13" s="1"/>
  <c r="D117" i="13" s="1"/>
  <c r="E24" i="9"/>
  <c r="C89" i="13" s="1"/>
  <c r="B118" i="13" s="1"/>
  <c r="D118" i="13" s="1"/>
  <c r="E21" i="9"/>
  <c r="C86" i="13" s="1"/>
  <c r="B115" i="13" s="1"/>
  <c r="D115" i="13" s="1"/>
  <c r="E25" i="9"/>
  <c r="C90" i="13" s="1"/>
  <c r="B119" i="13" s="1"/>
  <c r="D119" i="13" s="1"/>
  <c r="E20" i="9"/>
  <c r="F20" i="9" l="1"/>
  <c r="B7" i="10" s="1"/>
  <c r="C85" i="13"/>
  <c r="B114" i="13" s="1"/>
  <c r="D114" i="13" s="1"/>
  <c r="B126" i="13"/>
  <c r="D126" i="13" s="1"/>
  <c r="F21" i="11"/>
  <c r="B8" i="12" s="1"/>
  <c r="C100" i="13"/>
  <c r="B125" i="13"/>
  <c r="D125" i="13" s="1"/>
  <c r="B127" i="13"/>
  <c r="D127" i="13" s="1"/>
  <c r="B123" i="13"/>
  <c r="D123" i="13" s="1"/>
  <c r="F21" i="9"/>
  <c r="F22" i="11"/>
  <c r="B13" i="2"/>
  <c r="B124" i="13" l="1"/>
  <c r="D124" i="13" s="1"/>
  <c r="F22" i="9"/>
  <c r="B8" i="10"/>
  <c r="F23" i="11"/>
  <c r="B9" i="12"/>
  <c r="H4" i="8"/>
  <c r="G6" i="8"/>
  <c r="G7" i="8"/>
  <c r="G8" i="8"/>
  <c r="G5" i="8"/>
  <c r="G4" i="8"/>
  <c r="F24" i="11" l="1"/>
  <c r="B10" i="12"/>
  <c r="F23" i="9"/>
  <c r="B9" i="10"/>
  <c r="K79" i="7"/>
  <c r="I79" i="7"/>
  <c r="G79" i="7"/>
  <c r="E79" i="7"/>
  <c r="C79" i="7"/>
  <c r="B4" i="15" s="1"/>
  <c r="M37" i="7"/>
  <c r="B4" i="14" s="1"/>
  <c r="M32" i="7"/>
  <c r="H4" i="14" s="1"/>
  <c r="M27" i="7"/>
  <c r="B13" i="14" s="1"/>
  <c r="M22" i="7"/>
  <c r="H13" i="14" s="1"/>
  <c r="M19" i="7"/>
  <c r="B23" i="14" s="1"/>
  <c r="M14" i="7"/>
  <c r="H23" i="14" s="1"/>
  <c r="M9" i="7"/>
  <c r="B33" i="14" s="1"/>
  <c r="K79" i="6"/>
  <c r="I79" i="6"/>
  <c r="G79" i="6"/>
  <c r="E79" i="6"/>
  <c r="C79" i="6"/>
  <c r="B9" i="15" s="1"/>
  <c r="M37" i="6"/>
  <c r="B9" i="14" s="1"/>
  <c r="M32" i="6"/>
  <c r="H9" i="14" s="1"/>
  <c r="M27" i="6"/>
  <c r="B18" i="14" s="1"/>
  <c r="M22" i="6"/>
  <c r="H18" i="14" s="1"/>
  <c r="M19" i="6"/>
  <c r="B28" i="14" s="1"/>
  <c r="M14" i="6"/>
  <c r="H28" i="14" s="1"/>
  <c r="M9" i="6"/>
  <c r="B38" i="14" s="1"/>
  <c r="K79" i="5"/>
  <c r="I79" i="5"/>
  <c r="G79" i="5"/>
  <c r="E79" i="5"/>
  <c r="C79" i="5"/>
  <c r="O27" i="6" l="1"/>
  <c r="O27" i="7"/>
  <c r="N9" i="7"/>
  <c r="O37" i="7"/>
  <c r="N9" i="6"/>
  <c r="O19" i="6"/>
  <c r="O37" i="6"/>
  <c r="K80" i="5"/>
  <c r="B27" i="15"/>
  <c r="B25" i="15"/>
  <c r="B26" i="15"/>
  <c r="B28" i="15"/>
  <c r="K81" i="6"/>
  <c r="B29" i="15"/>
  <c r="G80" i="7"/>
  <c r="B14" i="15"/>
  <c r="K80" i="7"/>
  <c r="B24" i="15"/>
  <c r="F25" i="11"/>
  <c r="B11" i="12"/>
  <c r="N22" i="6"/>
  <c r="N14" i="6"/>
  <c r="N32" i="7"/>
  <c r="N22" i="7"/>
  <c r="N14" i="7"/>
  <c r="O19" i="7"/>
  <c r="M38" i="7"/>
  <c r="B6" i="15"/>
  <c r="B8" i="15"/>
  <c r="B7" i="15"/>
  <c r="B5" i="15"/>
  <c r="G80" i="5"/>
  <c r="B17" i="15"/>
  <c r="B15" i="15"/>
  <c r="B16" i="15"/>
  <c r="B18" i="15"/>
  <c r="G81" i="6"/>
  <c r="B19" i="15"/>
  <c r="E81" i="5"/>
  <c r="H7" i="15"/>
  <c r="H5" i="15"/>
  <c r="H6" i="15"/>
  <c r="H8" i="15"/>
  <c r="I81" i="5"/>
  <c r="H18" i="15"/>
  <c r="H16" i="15"/>
  <c r="H17" i="15"/>
  <c r="H19" i="15"/>
  <c r="E81" i="6"/>
  <c r="H9" i="15"/>
  <c r="I80" i="6"/>
  <c r="H20" i="15"/>
  <c r="E81" i="7"/>
  <c r="H4" i="15"/>
  <c r="I81" i="7"/>
  <c r="H15" i="15"/>
  <c r="F24" i="9"/>
  <c r="B10" i="10"/>
  <c r="N32" i="6"/>
  <c r="M38" i="6"/>
  <c r="N37" i="6"/>
  <c r="N27" i="6"/>
  <c r="N19" i="6"/>
  <c r="O9" i="6"/>
  <c r="O32" i="6"/>
  <c r="O22" i="6"/>
  <c r="O14" i="6"/>
  <c r="N37" i="7"/>
  <c r="N27" i="7"/>
  <c r="N19" i="7"/>
  <c r="O9" i="7"/>
  <c r="O32" i="7"/>
  <c r="O22" i="7"/>
  <c r="O14" i="7"/>
  <c r="K81" i="7"/>
  <c r="I80" i="7"/>
  <c r="G81" i="7"/>
  <c r="L79" i="7"/>
  <c r="E80" i="7"/>
  <c r="C81" i="7"/>
  <c r="C80" i="7"/>
  <c r="E80" i="6"/>
  <c r="K80" i="6"/>
  <c r="I81" i="6"/>
  <c r="L79" i="6"/>
  <c r="G80" i="6"/>
  <c r="C81" i="6"/>
  <c r="C80" i="6"/>
  <c r="K81" i="5"/>
  <c r="I80" i="5"/>
  <c r="G81" i="5"/>
  <c r="L79" i="5"/>
  <c r="E80" i="5"/>
  <c r="C81" i="5"/>
  <c r="C80" i="5"/>
  <c r="O38" i="7" l="1"/>
  <c r="O38" i="6"/>
  <c r="N38" i="6"/>
  <c r="N4" i="6" s="1"/>
  <c r="S4" i="6" s="1"/>
  <c r="F25" i="9"/>
  <c r="B11" i="10"/>
  <c r="B12" i="12"/>
  <c r="N38" i="7"/>
  <c r="N4" i="7" s="1"/>
  <c r="L81" i="7"/>
  <c r="L80" i="7"/>
  <c r="O79" i="7" s="1"/>
  <c r="L80" i="6"/>
  <c r="O78" i="6" s="1"/>
  <c r="L81" i="6"/>
  <c r="L80" i="5"/>
  <c r="N79" i="5" s="1"/>
  <c r="L81" i="5"/>
  <c r="M37" i="5"/>
  <c r="M32" i="5"/>
  <c r="N32" i="5" s="1"/>
  <c r="M27" i="5"/>
  <c r="O27" i="5" s="1"/>
  <c r="M22" i="5"/>
  <c r="N22" i="5" s="1"/>
  <c r="M19" i="5"/>
  <c r="M14" i="5"/>
  <c r="N14" i="5" s="1"/>
  <c r="M9" i="5"/>
  <c r="O9" i="5" s="1"/>
  <c r="E4" i="8" l="1"/>
  <c r="H44" i="13" s="1"/>
  <c r="K44" i="13" s="1"/>
  <c r="T79" i="7"/>
  <c r="F4" i="8"/>
  <c r="I44" i="13" s="1"/>
  <c r="J44" i="13" s="1"/>
  <c r="S4" i="7"/>
  <c r="E8" i="8"/>
  <c r="H48" i="13" s="1"/>
  <c r="M48" i="13" s="1"/>
  <c r="S79" i="5"/>
  <c r="E6" i="8"/>
  <c r="H46" i="13" s="1"/>
  <c r="K46" i="13" s="1"/>
  <c r="F9" i="8"/>
  <c r="I49" i="13" s="1"/>
  <c r="L49" i="13" s="1"/>
  <c r="B25" i="14"/>
  <c r="B27" i="14"/>
  <c r="B24" i="14"/>
  <c r="B26" i="14"/>
  <c r="B6" i="14"/>
  <c r="B8" i="14"/>
  <c r="B7" i="14"/>
  <c r="B5" i="14"/>
  <c r="M46" i="13"/>
  <c r="E9" i="8"/>
  <c r="H49" i="13" s="1"/>
  <c r="T78" i="6"/>
  <c r="B12" i="10"/>
  <c r="B35" i="14"/>
  <c r="B37" i="14"/>
  <c r="B36" i="14"/>
  <c r="B34" i="14"/>
  <c r="B15" i="14"/>
  <c r="B17" i="14"/>
  <c r="B16" i="14"/>
  <c r="B14" i="14"/>
  <c r="H25" i="14"/>
  <c r="H27" i="14"/>
  <c r="H26" i="14"/>
  <c r="H24" i="14"/>
  <c r="H16" i="14"/>
  <c r="H14" i="14"/>
  <c r="H15" i="14"/>
  <c r="H17" i="14"/>
  <c r="H6" i="14"/>
  <c r="H8" i="14"/>
  <c r="H7" i="14"/>
  <c r="H5" i="14"/>
  <c r="M44" i="13"/>
  <c r="L44" i="13"/>
  <c r="O37" i="5"/>
  <c r="O19" i="5"/>
  <c r="N9" i="5"/>
  <c r="N19" i="5"/>
  <c r="N27" i="5"/>
  <c r="N37" i="5"/>
  <c r="O14" i="5"/>
  <c r="O32" i="5"/>
  <c r="O22" i="5"/>
  <c r="M39" i="5"/>
  <c r="E5" i="8"/>
  <c r="H45" i="13" s="1"/>
  <c r="E7" i="8"/>
  <c r="H47" i="13" s="1"/>
  <c r="K48" i="13" l="1"/>
  <c r="J49" i="13"/>
  <c r="O39" i="5"/>
  <c r="M47" i="13"/>
  <c r="K47" i="13"/>
  <c r="C54" i="13"/>
  <c r="D85" i="13" s="1"/>
  <c r="M45" i="13"/>
  <c r="K45" i="13"/>
  <c r="E54" i="13"/>
  <c r="D99" i="13" s="1"/>
  <c r="M49" i="13"/>
  <c r="K49" i="13"/>
  <c r="E58" i="13"/>
  <c r="D103" i="13" s="1"/>
  <c r="E56" i="13"/>
  <c r="D101" i="13" s="1"/>
  <c r="N39" i="5"/>
  <c r="N4" i="5" s="1"/>
  <c r="S4" i="5" s="1"/>
  <c r="C59" i="13" l="1"/>
  <c r="D90" i="13" s="1"/>
  <c r="E103" i="13"/>
  <c r="F103" i="13"/>
  <c r="E101" i="13"/>
  <c r="F101" i="13"/>
  <c r="F99" i="13"/>
  <c r="E99" i="13"/>
  <c r="E85" i="13"/>
  <c r="F85" i="13"/>
  <c r="F6" i="8"/>
  <c r="I46" i="13" s="1"/>
  <c r="F8" i="8"/>
  <c r="I48" i="13" s="1"/>
  <c r="F7" i="8"/>
  <c r="I47" i="13" s="1"/>
  <c r="F5" i="8"/>
  <c r="I45" i="13" s="1"/>
  <c r="E59" i="13"/>
  <c r="D104" i="13" s="1"/>
  <c r="E55" i="13"/>
  <c r="D100" i="13" s="1"/>
  <c r="E57" i="13"/>
  <c r="D102" i="13" s="1"/>
  <c r="B4" i="1"/>
  <c r="B2" i="1"/>
  <c r="B3" i="1" s="1"/>
  <c r="E90" i="13" l="1"/>
  <c r="F90" i="13"/>
  <c r="F100" i="13"/>
  <c r="E100" i="13"/>
  <c r="E102" i="13"/>
  <c r="F102" i="13"/>
  <c r="E104" i="13"/>
  <c r="F104" i="13"/>
  <c r="L46" i="13"/>
  <c r="J46" i="13"/>
  <c r="L47" i="13"/>
  <c r="J47" i="13"/>
  <c r="L45" i="13"/>
  <c r="J45" i="13"/>
  <c r="L48" i="13"/>
  <c r="J48" i="13"/>
  <c r="F66" i="1"/>
  <c r="F65" i="1"/>
  <c r="F64" i="1"/>
  <c r="F56" i="1"/>
  <c r="F40" i="1"/>
  <c r="F39" i="1"/>
  <c r="F32" i="1"/>
  <c r="F31" i="1"/>
  <c r="E105" i="13" l="1"/>
  <c r="F105" i="13"/>
  <c r="C58" i="13"/>
  <c r="D89" i="13" s="1"/>
  <c r="C55" i="13"/>
  <c r="D86" i="13" s="1"/>
  <c r="C57" i="13"/>
  <c r="D88" i="13" s="1"/>
  <c r="C56" i="13"/>
  <c r="D87" i="13" s="1"/>
  <c r="F106" i="13" l="1"/>
  <c r="E88" i="13"/>
  <c r="F88" i="13"/>
  <c r="F89" i="13"/>
  <c r="E89" i="13"/>
  <c r="E87" i="13"/>
  <c r="F87" i="13"/>
  <c r="E86" i="13"/>
  <c r="F86" i="13"/>
  <c r="F57" i="1"/>
  <c r="F55" i="1"/>
  <c r="F54" i="1"/>
  <c r="J16" i="1"/>
  <c r="F91" i="13" l="1"/>
  <c r="E91" i="13"/>
  <c r="K34" i="4"/>
  <c r="M34" i="4" s="1"/>
  <c r="K35" i="4"/>
  <c r="M35" i="4" s="1"/>
  <c r="K36" i="4"/>
  <c r="M36" i="4" s="1"/>
  <c r="K37" i="4"/>
  <c r="M37" i="4" s="1"/>
  <c r="K38" i="4"/>
  <c r="M38" i="4" s="1"/>
  <c r="K39" i="4"/>
  <c r="K40" i="4"/>
  <c r="M40" i="4" s="1"/>
  <c r="K33" i="4"/>
  <c r="M33" i="4" s="1"/>
  <c r="F92" i="13" l="1"/>
  <c r="M41" i="4"/>
  <c r="D41" i="4"/>
  <c r="C51" i="4" l="1"/>
  <c r="D82" i="4"/>
  <c r="E4" i="12" s="1"/>
  <c r="C12" i="12" s="1"/>
  <c r="K27" i="4"/>
  <c r="M27" i="4" s="1"/>
  <c r="K26" i="4"/>
  <c r="M26" i="4" s="1"/>
  <c r="K25" i="4"/>
  <c r="M25" i="4" s="1"/>
  <c r="K24" i="4"/>
  <c r="M24" i="4" s="1"/>
  <c r="K23" i="4"/>
  <c r="M23" i="4" s="1"/>
  <c r="K22" i="4"/>
  <c r="M22" i="4" s="1"/>
  <c r="K21" i="4"/>
  <c r="M21" i="4" s="1"/>
  <c r="K20" i="4"/>
  <c r="M20" i="4" s="1"/>
  <c r="C27" i="4"/>
  <c r="C40" i="4" s="1"/>
  <c r="F40" i="4" s="1"/>
  <c r="C26" i="4"/>
  <c r="C39" i="4" s="1"/>
  <c r="F39" i="4" s="1"/>
  <c r="C25" i="4"/>
  <c r="C24" i="4"/>
  <c r="C23" i="4"/>
  <c r="C36" i="4" s="1"/>
  <c r="F36" i="4" s="1"/>
  <c r="C22" i="4"/>
  <c r="C35" i="4" s="1"/>
  <c r="F35" i="4" s="1"/>
  <c r="C21" i="4"/>
  <c r="C20" i="4"/>
  <c r="M12" i="4"/>
  <c r="M13" i="4"/>
  <c r="I12" i="12" l="1"/>
  <c r="I26" i="12" s="1"/>
  <c r="E13" i="12"/>
  <c r="E12" i="12"/>
  <c r="C74" i="4"/>
  <c r="D9" i="8"/>
  <c r="M28" i="4"/>
  <c r="C34" i="4"/>
  <c r="F34" i="4" s="1"/>
  <c r="F21" i="4"/>
  <c r="C38" i="4"/>
  <c r="F38" i="4" s="1"/>
  <c r="F25" i="4"/>
  <c r="C33" i="4"/>
  <c r="F33" i="4" s="1"/>
  <c r="F20" i="4"/>
  <c r="C37" i="4"/>
  <c r="F37" i="4" s="1"/>
  <c r="F24" i="4"/>
  <c r="C28" i="4"/>
  <c r="C41" i="4" s="1"/>
  <c r="J12" i="12" l="1"/>
  <c r="J26" i="12" s="1"/>
  <c r="B40" i="12" s="1"/>
  <c r="B19" i="13"/>
  <c r="J13" i="12"/>
  <c r="J27" i="12" s="1"/>
  <c r="B20" i="13"/>
  <c r="C46" i="4"/>
  <c r="D80" i="4"/>
  <c r="E2" i="12" s="1"/>
  <c r="C7" i="12" s="1"/>
  <c r="F41" i="4"/>
  <c r="F28" i="4"/>
  <c r="M10" i="4"/>
  <c r="E7" i="12" l="1"/>
  <c r="I7" i="12"/>
  <c r="I21" i="12" s="1"/>
  <c r="B41" i="12"/>
  <c r="B43" i="12"/>
  <c r="B51" i="4"/>
  <c r="C82" i="4"/>
  <c r="E4" i="10" s="1"/>
  <c r="C12" i="10" s="1"/>
  <c r="C69" i="4"/>
  <c r="D4" i="8"/>
  <c r="B46" i="4"/>
  <c r="C80" i="4"/>
  <c r="E2" i="10" s="1"/>
  <c r="C7" i="10" s="1"/>
  <c r="M7" i="4"/>
  <c r="M8" i="4"/>
  <c r="M9" i="4"/>
  <c r="B14" i="13" l="1"/>
  <c r="J7" i="12"/>
  <c r="J21" i="12" s="1"/>
  <c r="B35" i="12" s="1"/>
  <c r="F7" i="12"/>
  <c r="E7" i="10"/>
  <c r="I7" i="10"/>
  <c r="I21" i="10" s="1"/>
  <c r="I12" i="10"/>
  <c r="I26" i="10" s="1"/>
  <c r="E12" i="10"/>
  <c r="E13" i="10"/>
  <c r="C4" i="8"/>
  <c r="C57" i="4"/>
  <c r="C9" i="8"/>
  <c r="C62" i="4"/>
  <c r="M6" i="4"/>
  <c r="M14" i="4" s="1"/>
  <c r="D81" i="4" s="1"/>
  <c r="E3" i="12" s="1"/>
  <c r="B34" i="13" l="1"/>
  <c r="K7" i="12"/>
  <c r="K21" i="12" s="1"/>
  <c r="G7" i="12"/>
  <c r="C35" i="12" s="1"/>
  <c r="C8" i="12"/>
  <c r="C9" i="12"/>
  <c r="C10" i="12"/>
  <c r="C11" i="12"/>
  <c r="J12" i="10"/>
  <c r="J26" i="10" s="1"/>
  <c r="B40" i="10" s="1"/>
  <c r="B9" i="13"/>
  <c r="J13" i="10"/>
  <c r="J27" i="10" s="1"/>
  <c r="B10" i="13"/>
  <c r="F7" i="10"/>
  <c r="B4" i="13"/>
  <c r="J7" i="10"/>
  <c r="J21" i="10" s="1"/>
  <c r="B35" i="10" s="1"/>
  <c r="C48" i="4"/>
  <c r="C50" i="4"/>
  <c r="C49" i="4"/>
  <c r="C47" i="4"/>
  <c r="F11" i="4"/>
  <c r="B24" i="13" l="1"/>
  <c r="G7" i="10"/>
  <c r="C35" i="10" s="1"/>
  <c r="K7" i="10"/>
  <c r="K21" i="10" s="1"/>
  <c r="B43" i="10"/>
  <c r="B41" i="10"/>
  <c r="E10" i="12"/>
  <c r="I10" i="12"/>
  <c r="I24" i="12" s="1"/>
  <c r="I8" i="12"/>
  <c r="I22" i="12" s="1"/>
  <c r="E8" i="12"/>
  <c r="E11" i="12"/>
  <c r="I11" i="12"/>
  <c r="I25" i="12" s="1"/>
  <c r="E9" i="12"/>
  <c r="I9" i="12"/>
  <c r="I23" i="12" s="1"/>
  <c r="C72" i="4"/>
  <c r="D7" i="8"/>
  <c r="C71" i="4"/>
  <c r="D6" i="8"/>
  <c r="C70" i="4"/>
  <c r="D5" i="8"/>
  <c r="C73" i="4"/>
  <c r="D8" i="8"/>
  <c r="B18" i="13" l="1"/>
  <c r="J11" i="12"/>
  <c r="J25" i="12" s="1"/>
  <c r="F12" i="12"/>
  <c r="B17" i="13"/>
  <c r="J10" i="12"/>
  <c r="J24" i="12" s="1"/>
  <c r="B38" i="12" s="1"/>
  <c r="F11" i="12"/>
  <c r="B16" i="13"/>
  <c r="J9" i="12"/>
  <c r="J23" i="12" s="1"/>
  <c r="B37" i="12" s="1"/>
  <c r="F10" i="12"/>
  <c r="B15" i="13"/>
  <c r="J8" i="12"/>
  <c r="J22" i="12" s="1"/>
  <c r="B36" i="12" s="1"/>
  <c r="F9" i="12"/>
  <c r="F8" i="12"/>
  <c r="F10" i="4"/>
  <c r="F7" i="4"/>
  <c r="F6" i="4"/>
  <c r="K12" i="12" l="1"/>
  <c r="B39" i="13"/>
  <c r="B35" i="13"/>
  <c r="K8" i="12"/>
  <c r="K22" i="12" s="1"/>
  <c r="G9" i="12"/>
  <c r="C37" i="12" s="1"/>
  <c r="G8" i="12"/>
  <c r="C36" i="12" s="1"/>
  <c r="B37" i="13"/>
  <c r="K10" i="12"/>
  <c r="K24" i="12" s="1"/>
  <c r="G11" i="12"/>
  <c r="C39" i="12" s="1"/>
  <c r="B36" i="13"/>
  <c r="K9" i="12"/>
  <c r="K23" i="12" s="1"/>
  <c r="G10" i="12"/>
  <c r="C38" i="12" s="1"/>
  <c r="B38" i="13"/>
  <c r="K11" i="12"/>
  <c r="K25" i="12" s="1"/>
  <c r="G12" i="12"/>
  <c r="C40" i="12" s="1"/>
  <c r="B39" i="12"/>
  <c r="D45" i="12"/>
  <c r="F14" i="4"/>
  <c r="C81" i="4" s="1"/>
  <c r="E3" i="10" s="1"/>
  <c r="C14" i="4"/>
  <c r="E69" i="1"/>
  <c r="D69" i="1"/>
  <c r="K26" i="12" l="1"/>
  <c r="C18" i="12" s="1"/>
  <c r="C8" i="10"/>
  <c r="C9" i="10"/>
  <c r="C10" i="10"/>
  <c r="C11" i="10"/>
  <c r="B48" i="4"/>
  <c r="B50" i="4"/>
  <c r="B47" i="4"/>
  <c r="B49" i="4"/>
  <c r="C2" i="1"/>
  <c r="E7" i="1"/>
  <c r="E10" i="10" l="1"/>
  <c r="I10" i="10"/>
  <c r="I24" i="10" s="1"/>
  <c r="E8" i="10"/>
  <c r="I8" i="10"/>
  <c r="I22" i="10" s="1"/>
  <c r="I11" i="10"/>
  <c r="I25" i="10" s="1"/>
  <c r="E11" i="10"/>
  <c r="E9" i="10"/>
  <c r="I9" i="10"/>
  <c r="I23" i="10" s="1"/>
  <c r="C60" i="4"/>
  <c r="C7" i="8"/>
  <c r="C61" i="4"/>
  <c r="C8" i="8"/>
  <c r="C58" i="4"/>
  <c r="C5" i="8"/>
  <c r="C59" i="4"/>
  <c r="C6" i="8"/>
  <c r="C42" i="1"/>
  <c r="C26" i="1"/>
  <c r="D8" i="1"/>
  <c r="C24" i="2"/>
  <c r="C23" i="2" s="1"/>
  <c r="C22" i="2" s="1"/>
  <c r="C21" i="2" s="1"/>
  <c r="C20" i="2" s="1"/>
  <c r="D9" i="1"/>
  <c r="E9" i="1"/>
  <c r="E8" i="1"/>
  <c r="D7" i="1"/>
  <c r="B42" i="1" s="1"/>
  <c r="J9" i="1"/>
  <c r="E6" i="1"/>
  <c r="C19" i="1" s="1"/>
  <c r="D6" i="1"/>
  <c r="D5" i="1"/>
  <c r="E3" i="1"/>
  <c r="E4" i="1"/>
  <c r="D3" i="1"/>
  <c r="D4" i="1"/>
  <c r="E2" i="1"/>
  <c r="J11" i="10" l="1"/>
  <c r="J25" i="10" s="1"/>
  <c r="B8" i="13"/>
  <c r="F12" i="10"/>
  <c r="B56" i="1"/>
  <c r="B19" i="1"/>
  <c r="B6" i="13"/>
  <c r="J9" i="10"/>
  <c r="J23" i="10" s="1"/>
  <c r="B37" i="10" s="1"/>
  <c r="F10" i="10"/>
  <c r="B5" i="13"/>
  <c r="F9" i="10"/>
  <c r="J8" i="10"/>
  <c r="J22" i="10" s="1"/>
  <c r="B36" i="10" s="1"/>
  <c r="F8" i="10"/>
  <c r="B7" i="13"/>
  <c r="F11" i="10"/>
  <c r="J10" i="10"/>
  <c r="J24" i="10" s="1"/>
  <c r="B38" i="10" s="1"/>
  <c r="B17" i="1"/>
  <c r="B57" i="1"/>
  <c r="C57" i="1"/>
  <c r="C17" i="1"/>
  <c r="C40" i="1"/>
  <c r="C32" i="1"/>
  <c r="C16" i="1"/>
  <c r="C41" i="1"/>
  <c r="C33" i="1"/>
  <c r="C24" i="1"/>
  <c r="B66" i="1"/>
  <c r="B67" i="1"/>
  <c r="B58" i="1"/>
  <c r="B65" i="1"/>
  <c r="B55" i="1"/>
  <c r="D2" i="1"/>
  <c r="B26" i="1"/>
  <c r="B18" i="1"/>
  <c r="B34" i="1"/>
  <c r="C25" i="1"/>
  <c r="C64" i="1"/>
  <c r="C54" i="1"/>
  <c r="C27" i="1"/>
  <c r="C65" i="1"/>
  <c r="C55" i="1"/>
  <c r="C18" i="1"/>
  <c r="C34" i="1"/>
  <c r="C66" i="1"/>
  <c r="C56" i="1"/>
  <c r="C67" i="1"/>
  <c r="C58" i="1"/>
  <c r="E11" i="1"/>
  <c r="D13" i="3"/>
  <c r="D12" i="3"/>
  <c r="D8" i="3"/>
  <c r="D9" i="3"/>
  <c r="D10" i="3"/>
  <c r="D11" i="3"/>
  <c r="D7" i="3"/>
  <c r="C43" i="1" l="1"/>
  <c r="C35" i="1"/>
  <c r="K53" i="12"/>
  <c r="K55" i="12" s="1"/>
  <c r="J61" i="12" s="1"/>
  <c r="J65" i="12" s="1"/>
  <c r="K53" i="10"/>
  <c r="K12" i="10"/>
  <c r="B29" i="13"/>
  <c r="D45" i="10"/>
  <c r="B39" i="10"/>
  <c r="B28" i="13"/>
  <c r="K11" i="10"/>
  <c r="K25" i="10" s="1"/>
  <c r="G12" i="10"/>
  <c r="C40" i="10" s="1"/>
  <c r="B25" i="13"/>
  <c r="K8" i="10"/>
  <c r="K22" i="10" s="1"/>
  <c r="G9" i="10"/>
  <c r="C37" i="10" s="1"/>
  <c r="G8" i="10"/>
  <c r="C36" i="10" s="1"/>
  <c r="B26" i="13"/>
  <c r="K9" i="10"/>
  <c r="K23" i="10" s="1"/>
  <c r="G10" i="10"/>
  <c r="C38" i="10" s="1"/>
  <c r="B27" i="13"/>
  <c r="K10" i="10"/>
  <c r="K24" i="10" s="1"/>
  <c r="G11" i="10"/>
  <c r="C39" i="10" s="1"/>
  <c r="C20" i="1"/>
  <c r="B40" i="1"/>
  <c r="B32" i="1"/>
  <c r="B24" i="1"/>
  <c r="B16" i="1"/>
  <c r="B20" i="1" s="1"/>
  <c r="B41" i="1"/>
  <c r="B33" i="1"/>
  <c r="D11" i="1"/>
  <c r="K53" i="3"/>
  <c r="B54" i="1"/>
  <c r="B59" i="1" s="1"/>
  <c r="B73" i="1" s="1"/>
  <c r="B64" i="1"/>
  <c r="B68" i="1" s="1"/>
  <c r="C73" i="1" s="1"/>
  <c r="B25" i="1"/>
  <c r="C68" i="1"/>
  <c r="E73" i="1" s="1"/>
  <c r="C59" i="1"/>
  <c r="D73" i="1" s="1"/>
  <c r="D35" i="12" l="1"/>
  <c r="F35" i="12" s="1"/>
  <c r="D35" i="10"/>
  <c r="F35" i="10" s="1"/>
  <c r="K26" i="10"/>
  <c r="C18" i="10" s="1"/>
  <c r="K54" i="10"/>
  <c r="K55" i="10" s="1"/>
  <c r="J61" i="10" s="1"/>
  <c r="J65" i="10" s="1"/>
  <c r="E35" i="10"/>
  <c r="G35" i="10" s="1"/>
  <c r="E35" i="12"/>
  <c r="G35" i="12" s="1"/>
  <c r="C17" i="3"/>
  <c r="C17" i="10"/>
  <c r="C17" i="12"/>
  <c r="C19" i="12" s="1"/>
  <c r="B25" i="12" s="1"/>
  <c r="B29" i="12" s="1"/>
  <c r="E77" i="1"/>
  <c r="E75" i="1"/>
  <c r="E35" i="3"/>
  <c r="E78" i="1"/>
  <c r="E76" i="1"/>
  <c r="E74" i="1"/>
  <c r="C77" i="1"/>
  <c r="C75" i="1"/>
  <c r="C78" i="1"/>
  <c r="C76" i="1"/>
  <c r="C74" i="1"/>
  <c r="D77" i="1"/>
  <c r="D75" i="1"/>
  <c r="D35" i="3"/>
  <c r="D78" i="1"/>
  <c r="D76" i="1"/>
  <c r="D74" i="1"/>
  <c r="B77" i="1"/>
  <c r="B75" i="1"/>
  <c r="B78" i="1"/>
  <c r="B76" i="1"/>
  <c r="B74" i="1"/>
  <c r="B43" i="1"/>
  <c r="B35" i="1"/>
  <c r="B27" i="1"/>
  <c r="C19" i="10" l="1"/>
  <c r="B25" i="10" s="1"/>
  <c r="B29" i="10" s="1"/>
  <c r="D36" i="3"/>
  <c r="D36" i="12"/>
  <c r="F36" i="12" s="1"/>
  <c r="D36" i="10"/>
  <c r="F36" i="10" s="1"/>
  <c r="D40" i="3"/>
  <c r="D40" i="12"/>
  <c r="F40" i="12" s="1"/>
  <c r="B44" i="12" s="1"/>
  <c r="D40" i="10"/>
  <c r="F40" i="10" s="1"/>
  <c r="B44" i="10" s="1"/>
  <c r="D37" i="3"/>
  <c r="D37" i="12"/>
  <c r="F37" i="12" s="1"/>
  <c r="D37" i="10"/>
  <c r="F37" i="10" s="1"/>
  <c r="E38" i="3"/>
  <c r="E38" i="10"/>
  <c r="G38" i="10" s="1"/>
  <c r="E38" i="12"/>
  <c r="G38" i="12" s="1"/>
  <c r="E39" i="3"/>
  <c r="E39" i="10"/>
  <c r="G39" i="10" s="1"/>
  <c r="E39" i="12"/>
  <c r="G39" i="12" s="1"/>
  <c r="D38" i="3"/>
  <c r="D38" i="12"/>
  <c r="F38" i="12" s="1"/>
  <c r="D38" i="10"/>
  <c r="F38" i="10" s="1"/>
  <c r="D39" i="3"/>
  <c r="D39" i="12"/>
  <c r="F39" i="12" s="1"/>
  <c r="D39" i="10"/>
  <c r="F39" i="10" s="1"/>
  <c r="E36" i="3"/>
  <c r="E36" i="10"/>
  <c r="G36" i="10" s="1"/>
  <c r="E36" i="12"/>
  <c r="G36" i="12" s="1"/>
  <c r="E40" i="3"/>
  <c r="E40" i="10"/>
  <c r="G40" i="10" s="1"/>
  <c r="B45" i="10" s="1"/>
  <c r="E40" i="12"/>
  <c r="G40" i="12" s="1"/>
  <c r="B45" i="12" s="1"/>
  <c r="E37" i="3"/>
  <c r="E37" i="10"/>
  <c r="G37" i="10" s="1"/>
  <c r="E37" i="12"/>
  <c r="G37" i="12" s="1"/>
  <c r="D3" i="2"/>
  <c r="D4" i="2"/>
  <c r="E4" i="2" s="1"/>
  <c r="E59" i="4" s="1"/>
  <c r="D5" i="2"/>
  <c r="D6" i="2"/>
  <c r="D7" i="2"/>
  <c r="D2" i="2"/>
  <c r="B25" i="2" l="1"/>
  <c r="D25" i="2" s="1"/>
  <c r="B21" i="2"/>
  <c r="D21" i="2" s="1"/>
  <c r="B20" i="2"/>
  <c r="D20" i="2" s="1"/>
  <c r="B24" i="2"/>
  <c r="D24" i="2" s="1"/>
  <c r="B22" i="2"/>
  <c r="D22" i="2" s="1"/>
  <c r="E6" i="2"/>
  <c r="E61" i="4" s="1"/>
  <c r="B23" i="2"/>
  <c r="D23" i="2" s="1"/>
  <c r="E73" i="4"/>
  <c r="E71" i="4"/>
  <c r="E7" i="2"/>
  <c r="E62" i="4" s="1"/>
  <c r="E5" i="2"/>
  <c r="E60" i="4" s="1"/>
  <c r="E3" i="2"/>
  <c r="E58" i="4" s="1"/>
  <c r="D8" i="2"/>
  <c r="D26" i="2"/>
  <c r="E2" i="2"/>
  <c r="E57" i="4" s="1"/>
  <c r="E70" i="4" l="1"/>
  <c r="E74" i="4"/>
  <c r="E69" i="4"/>
  <c r="E72" i="4"/>
  <c r="B15" i="2"/>
  <c r="E23" i="2" s="1"/>
  <c r="E8" i="2"/>
  <c r="E20" i="2" l="1"/>
  <c r="E21" i="2"/>
  <c r="F20" i="2"/>
  <c r="E22" i="2"/>
  <c r="E24" i="2"/>
  <c r="E25" i="2"/>
  <c r="B7" i="3"/>
  <c r="C7" i="3" s="1"/>
  <c r="F21" i="2" l="1"/>
  <c r="B58" i="4" s="1"/>
  <c r="B57" i="4"/>
  <c r="E7" i="3"/>
  <c r="J7" i="3" s="1"/>
  <c r="J21" i="3" s="1"/>
  <c r="B35" i="3" s="1"/>
  <c r="I7" i="3"/>
  <c r="I21" i="3" s="1"/>
  <c r="F22" i="2"/>
  <c r="B59" i="4" s="1"/>
  <c r="F7" i="3" l="1"/>
  <c r="G7" i="3" s="1"/>
  <c r="B71" i="4"/>
  <c r="D71" i="4" s="1"/>
  <c r="D59" i="4"/>
  <c r="B70" i="4"/>
  <c r="D70" i="4" s="1"/>
  <c r="D58" i="4"/>
  <c r="B69" i="4"/>
  <c r="D69" i="4" s="1"/>
  <c r="D57" i="4"/>
  <c r="B8" i="3"/>
  <c r="C8" i="3" s="1"/>
  <c r="E8" i="3" s="1"/>
  <c r="K7" i="3"/>
  <c r="K21" i="3" s="1"/>
  <c r="C35" i="3"/>
  <c r="B9" i="3"/>
  <c r="C9" i="3" s="1"/>
  <c r="F23" i="2"/>
  <c r="B60" i="4" s="1"/>
  <c r="J8" i="3" l="1"/>
  <c r="J22" i="3" s="1"/>
  <c r="B36" i="3" s="1"/>
  <c r="F8" i="3"/>
  <c r="G8" i="3" s="1"/>
  <c r="C36" i="3" s="1"/>
  <c r="B72" i="4"/>
  <c r="D72" i="4" s="1"/>
  <c r="D60" i="4"/>
  <c r="I8" i="3"/>
  <c r="I22" i="3" s="1"/>
  <c r="K8" i="3"/>
  <c r="K22" i="3" s="1"/>
  <c r="G35" i="3"/>
  <c r="F35" i="3"/>
  <c r="E9" i="3"/>
  <c r="I9" i="3"/>
  <c r="I23" i="3" s="1"/>
  <c r="B10" i="3"/>
  <c r="C10" i="3" s="1"/>
  <c r="F24" i="2"/>
  <c r="B61" i="4" s="1"/>
  <c r="B73" i="4" l="1"/>
  <c r="D73" i="4" s="1"/>
  <c r="D61" i="4"/>
  <c r="G36" i="3"/>
  <c r="F36" i="3"/>
  <c r="E10" i="3"/>
  <c r="J10" i="3" s="1"/>
  <c r="J24" i="3" s="1"/>
  <c r="B38" i="3" s="1"/>
  <c r="I10" i="3"/>
  <c r="I24" i="3" s="1"/>
  <c r="F9" i="3"/>
  <c r="J9" i="3"/>
  <c r="J23" i="3" s="1"/>
  <c r="B37" i="3" s="1"/>
  <c r="B11" i="3"/>
  <c r="C11" i="3" s="1"/>
  <c r="F25" i="2"/>
  <c r="F10" i="3"/>
  <c r="B12" i="3" l="1"/>
  <c r="C12" i="3" s="1"/>
  <c r="I12" i="3" s="1"/>
  <c r="I26" i="3" s="1"/>
  <c r="B62" i="4"/>
  <c r="K10" i="3"/>
  <c r="K24" i="3" s="1"/>
  <c r="K9" i="3"/>
  <c r="K23" i="3" s="1"/>
  <c r="G10" i="3"/>
  <c r="C38" i="3" s="1"/>
  <c r="G9" i="3"/>
  <c r="C37" i="3" s="1"/>
  <c r="E11" i="3"/>
  <c r="I11" i="3"/>
  <c r="I25" i="3" s="1"/>
  <c r="E12" i="3"/>
  <c r="E13" i="3"/>
  <c r="J13" i="3" s="1"/>
  <c r="J27" i="3" s="1"/>
  <c r="B74" i="4" l="1"/>
  <c r="D74" i="4" s="1"/>
  <c r="F74" i="4" s="1"/>
  <c r="D62" i="4"/>
  <c r="F62" i="4" s="1"/>
  <c r="B41" i="3"/>
  <c r="B43" i="3"/>
  <c r="G37" i="3"/>
  <c r="F37" i="3"/>
  <c r="G38" i="3"/>
  <c r="F38" i="3"/>
  <c r="F12" i="3"/>
  <c r="K12" i="3" s="1"/>
  <c r="J12" i="3"/>
  <c r="J26" i="3" s="1"/>
  <c r="B40" i="3" s="1"/>
  <c r="F11" i="3"/>
  <c r="J11" i="3"/>
  <c r="J25" i="3" s="1"/>
  <c r="D59" i="13" l="1"/>
  <c r="G74" i="4"/>
  <c r="H74" i="4"/>
  <c r="F73" i="4"/>
  <c r="K26" i="3"/>
  <c r="C18" i="3" s="1"/>
  <c r="C19" i="3" s="1"/>
  <c r="B25" i="3" s="1"/>
  <c r="B29" i="3" s="1"/>
  <c r="K55" i="3"/>
  <c r="J61" i="3" s="1"/>
  <c r="J65" i="3" s="1"/>
  <c r="B39" i="3"/>
  <c r="D45" i="3"/>
  <c r="G62" i="4"/>
  <c r="B59" i="13"/>
  <c r="H62" i="4"/>
  <c r="F61" i="4"/>
  <c r="K11" i="3"/>
  <c r="K25" i="3" s="1"/>
  <c r="G12" i="3"/>
  <c r="C40" i="3" s="1"/>
  <c r="G11" i="3"/>
  <c r="C39" i="3" s="1"/>
  <c r="G61" i="4" l="1"/>
  <c r="B58" i="13"/>
  <c r="F60" i="4"/>
  <c r="H61" i="4"/>
  <c r="G73" i="4"/>
  <c r="D58" i="13"/>
  <c r="F72" i="4"/>
  <c r="H73" i="4"/>
  <c r="G39" i="3"/>
  <c r="F39" i="3"/>
  <c r="G40" i="3"/>
  <c r="B45" i="3" s="1"/>
  <c r="F40" i="3"/>
  <c r="B44" i="3" s="1"/>
  <c r="G72" i="4" l="1"/>
  <c r="D57" i="13"/>
  <c r="F71" i="4"/>
  <c r="H72" i="4"/>
  <c r="G60" i="4"/>
  <c r="B57" i="13"/>
  <c r="F59" i="4"/>
  <c r="H60" i="4"/>
  <c r="G59" i="4" l="1"/>
  <c r="B56" i="13"/>
  <c r="F58" i="4"/>
  <c r="H59" i="4"/>
  <c r="G71" i="4"/>
  <c r="D56" i="13"/>
  <c r="F70" i="4"/>
  <c r="H71" i="4"/>
  <c r="G58" i="4" l="1"/>
  <c r="B55" i="13"/>
  <c r="F57" i="4"/>
  <c r="H58" i="4"/>
  <c r="G70" i="4"/>
  <c r="D55" i="13"/>
  <c r="F69" i="4"/>
  <c r="H70" i="4"/>
  <c r="G57" i="4" l="1"/>
  <c r="G63" i="4" s="1"/>
  <c r="B54" i="13"/>
  <c r="H57" i="4"/>
  <c r="H63" i="4" s="1"/>
  <c r="G64" i="4" s="1"/>
  <c r="G69" i="4"/>
  <c r="G75" i="4" s="1"/>
  <c r="D54" i="13"/>
  <c r="H69" i="4"/>
  <c r="H75" i="4" s="1"/>
  <c r="G76" i="4" s="1"/>
</calcChain>
</file>

<file path=xl/sharedStrings.xml><?xml version="1.0" encoding="utf-8"?>
<sst xmlns="http://schemas.openxmlformats.org/spreadsheetml/2006/main" count="733" uniqueCount="300">
  <si>
    <t>impalcato</t>
  </si>
  <si>
    <t>massa</t>
  </si>
  <si>
    <t>6+ tetto</t>
  </si>
  <si>
    <t>tot 1-6</t>
  </si>
  <si>
    <t>C1</t>
  </si>
  <si>
    <t>H</t>
  </si>
  <si>
    <t>T1</t>
  </si>
  <si>
    <t>Sd(T1)</t>
  </si>
  <si>
    <t>Vb</t>
  </si>
  <si>
    <t>V</t>
  </si>
  <si>
    <t>6-tetto</t>
  </si>
  <si>
    <t>TOT</t>
  </si>
  <si>
    <t>n pilastri</t>
  </si>
  <si>
    <t>n pilastri II ordine</t>
  </si>
  <si>
    <t xml:space="preserve"> h interpiano</t>
  </si>
  <si>
    <t>impal/ordine</t>
  </si>
  <si>
    <t>1 piede</t>
  </si>
  <si>
    <t>solaio del piano tipo</t>
  </si>
  <si>
    <t>g1k</t>
  </si>
  <si>
    <t>g2k+qk</t>
  </si>
  <si>
    <t>Totale in assenza di sisma</t>
  </si>
  <si>
    <t>solaio senza tramezzi</t>
  </si>
  <si>
    <t>sbalzo del piano tipo</t>
  </si>
  <si>
    <t>scala</t>
  </si>
  <si>
    <t>tamponature</t>
  </si>
  <si>
    <t>trave a spessore (60x27)</t>
  </si>
  <si>
    <t>pilastro(30x70)</t>
  </si>
  <si>
    <t>spessore solaio</t>
  </si>
  <si>
    <t>lmax</t>
  </si>
  <si>
    <t xml:space="preserve">prendiamo spessore </t>
  </si>
  <si>
    <t>27cm</t>
  </si>
  <si>
    <t>tot</t>
  </si>
  <si>
    <t>Vpilastro(+20%)</t>
  </si>
  <si>
    <t>Mpilastro(20%)</t>
  </si>
  <si>
    <t>ECCENTRICITA(+20%) pilastri perimetrali</t>
  </si>
  <si>
    <t>M trave (20%)</t>
  </si>
  <si>
    <t>solaio a destra</t>
  </si>
  <si>
    <t>solaio a sinistra</t>
  </si>
  <si>
    <t>peso proprio trave</t>
  </si>
  <si>
    <t>in assenza di sisma</t>
  </si>
  <si>
    <t>in presenza di sisma</t>
  </si>
  <si>
    <t>coefficiente continuità</t>
  </si>
  <si>
    <t>trave emergente(30x60)</t>
  </si>
  <si>
    <t>carico su trave a spessore 12-13</t>
  </si>
  <si>
    <t>carico su trave emergente 20-23</t>
  </si>
  <si>
    <t>carico su trave spessore 12-17</t>
  </si>
  <si>
    <t>solaio</t>
  </si>
  <si>
    <t>travi</t>
  </si>
  <si>
    <t>carico su pilastro 21</t>
  </si>
  <si>
    <t>tamponatura esterna</t>
  </si>
  <si>
    <t>sbalzo</t>
  </si>
  <si>
    <t>coeff continuita</t>
  </si>
  <si>
    <t>area influenza solaio</t>
  </si>
  <si>
    <t>lunghezza trave</t>
  </si>
  <si>
    <t>lung tamponatura</t>
  </si>
  <si>
    <t>pilastro</t>
  </si>
  <si>
    <t>tamponatura</t>
  </si>
  <si>
    <t>lun sbalzo</t>
  </si>
  <si>
    <t>carico su pilastro 1</t>
  </si>
  <si>
    <t>area solaio</t>
  </si>
  <si>
    <t>lun trave</t>
  </si>
  <si>
    <t>pilastro 1</t>
  </si>
  <si>
    <t>pilastro 21</t>
  </si>
  <si>
    <t>M carichi verticali</t>
  </si>
  <si>
    <t>ql^2/10</t>
  </si>
  <si>
    <t>M sisma</t>
  </si>
  <si>
    <t xml:space="preserve">(piani inferiori e centrali)  </t>
  </si>
  <si>
    <t>sezione rettangolare</t>
  </si>
  <si>
    <t>b</t>
  </si>
  <si>
    <t>h</t>
  </si>
  <si>
    <t>?</t>
  </si>
  <si>
    <t>c</t>
  </si>
  <si>
    <t>Med</t>
  </si>
  <si>
    <t>fck</t>
  </si>
  <si>
    <t>r</t>
  </si>
  <si>
    <t>la sezione deve essere</t>
  </si>
  <si>
    <t>h=r(M/b)^(1/2)</t>
  </si>
  <si>
    <r>
      <rPr>
        <sz val="11"/>
        <color rgb="FF9C6500"/>
        <rFont val="Symbol"/>
        <family val="1"/>
        <charset val="2"/>
      </rPr>
      <t>g</t>
    </r>
    <r>
      <rPr>
        <sz val="11"/>
        <color rgb="FF9C6500"/>
        <rFont val="Calibri"/>
        <family val="2"/>
        <scheme val="minor"/>
      </rPr>
      <t>g1</t>
    </r>
  </si>
  <si>
    <r>
      <rPr>
        <sz val="11"/>
        <color rgb="FF9C6500"/>
        <rFont val="Symbol"/>
        <family val="1"/>
        <charset val="2"/>
      </rPr>
      <t>g</t>
    </r>
    <r>
      <rPr>
        <sz val="11"/>
        <color rgb="FF9C6500"/>
        <rFont val="Calibri"/>
        <family val="2"/>
        <scheme val="minor"/>
      </rPr>
      <t>g2</t>
    </r>
  </si>
  <si>
    <r>
      <rPr>
        <sz val="11"/>
        <color rgb="FF9C6500"/>
        <rFont val="Symbol"/>
        <family val="1"/>
        <charset val="2"/>
      </rPr>
      <t>g</t>
    </r>
    <r>
      <rPr>
        <sz val="11"/>
        <color rgb="FF9C6500"/>
        <rFont val="Calibri"/>
        <family val="2"/>
        <scheme val="minor"/>
      </rPr>
      <t>q</t>
    </r>
  </si>
  <si>
    <r>
      <t>Totale in presenza di sisma(gk+</t>
    </r>
    <r>
      <rPr>
        <sz val="11"/>
        <color theme="1"/>
        <rFont val="Symbol"/>
        <family val="1"/>
        <charset val="2"/>
      </rPr>
      <t>y</t>
    </r>
    <r>
      <rPr>
        <sz val="11"/>
        <color theme="1"/>
        <rFont val="Calibri"/>
        <family val="2"/>
      </rPr>
      <t>2qk)</t>
    </r>
  </si>
  <si>
    <r>
      <rPr>
        <sz val="11"/>
        <color rgb="FF9C6500"/>
        <rFont val="Symbol"/>
        <family val="1"/>
        <charset val="2"/>
      </rPr>
      <t>y</t>
    </r>
    <r>
      <rPr>
        <sz val="11"/>
        <color rgb="FF9C6500"/>
        <rFont val="Calibri"/>
        <family val="2"/>
        <scheme val="minor"/>
      </rPr>
      <t>2</t>
    </r>
  </si>
  <si>
    <t>15-21</t>
  </si>
  <si>
    <t>area influenza sbalzo</t>
  </si>
  <si>
    <t>area solaio destra</t>
  </si>
  <si>
    <t>area solaio sinistra</t>
  </si>
  <si>
    <t>coeff continuità</t>
  </si>
  <si>
    <t>Ordine</t>
  </si>
  <si>
    <t>Ned( senza sisma)</t>
  </si>
  <si>
    <t>meno caricato</t>
  </si>
  <si>
    <t>più caricato</t>
  </si>
  <si>
    <t>Ned (senza sisma)</t>
  </si>
  <si>
    <t>classe di duttilità A</t>
  </si>
  <si>
    <t>(14 I DIREZIONE X E 13 IN DIREZIONE Y))</t>
  </si>
  <si>
    <t>M pilastro</t>
  </si>
  <si>
    <t>(incremeto per tener conto delle gerarchie delle resistenze)</t>
  </si>
  <si>
    <t xml:space="preserve">carico su trave emergente </t>
  </si>
  <si>
    <t>trave emergente 15-21</t>
  </si>
  <si>
    <t>M tot</t>
  </si>
  <si>
    <t>m</t>
  </si>
  <si>
    <t>I trave</t>
  </si>
  <si>
    <t>dimensionamento trave</t>
  </si>
  <si>
    <t>dimensionamento pilastri</t>
  </si>
  <si>
    <t>N pilastro 21</t>
  </si>
  <si>
    <t>N pilastro 1</t>
  </si>
  <si>
    <t>Ned (con sisma)</t>
  </si>
  <si>
    <t>delta N</t>
  </si>
  <si>
    <t>N(21)+delta N</t>
  </si>
  <si>
    <t>N(1)-delta N</t>
  </si>
  <si>
    <t>Mmax</t>
  </si>
  <si>
    <t>N max</t>
  </si>
  <si>
    <t>N min</t>
  </si>
  <si>
    <t>sezione 30x70</t>
  </si>
  <si>
    <t>ai piani superiori andremo a ridurre la sezione</t>
  </si>
  <si>
    <t>AL PIANO TIPO, direzione x</t>
  </si>
  <si>
    <t>Pilastro 30X70, 2 travi emergenti</t>
  </si>
  <si>
    <t>Pilastro 30x70, 1 trave emergente</t>
  </si>
  <si>
    <t>Pilastro 70x30, 2 travi emergenti</t>
  </si>
  <si>
    <t>Pilastro 70x30,1 trave emergente</t>
  </si>
  <si>
    <t>numero</t>
  </si>
  <si>
    <t>Kx</t>
  </si>
  <si>
    <t>Ktot</t>
  </si>
  <si>
    <t>AL PIANO TIPO, direzione y</t>
  </si>
  <si>
    <t>Ky</t>
  </si>
  <si>
    <t>Pilastro 70x30 2 trave a spessore</t>
  </si>
  <si>
    <t>Pilastro 70x30 1 trave a spessore</t>
  </si>
  <si>
    <t>Pilasto 30x70 2 travi a spessore</t>
  </si>
  <si>
    <t>Pilastro 30x70 1 trave a spessore</t>
  </si>
  <si>
    <t>emergente</t>
  </si>
  <si>
    <t>spessore</t>
  </si>
  <si>
    <t>Kxtot</t>
  </si>
  <si>
    <t>Pilastro 30X60, 2 travi emergenti</t>
  </si>
  <si>
    <t>Pilastro 30x60, 1 trave emergente</t>
  </si>
  <si>
    <t>Pilasto 30x60 2 travi a spessore</t>
  </si>
  <si>
    <t>Pilastro 30x60 1 trave a spessore</t>
  </si>
  <si>
    <t>piano interrato, direzione y</t>
  </si>
  <si>
    <t>AL PIANO INTERRATO, direzione x</t>
  </si>
  <si>
    <t>Pilastro 60x30, 2 travi emergenti</t>
  </si>
  <si>
    <t>Pilastro 60x30,1 trave emergente</t>
  </si>
  <si>
    <t>Pilastro 60x30 2 trave a spessore</t>
  </si>
  <si>
    <t>Pilastro 60x30 1 trave a spessore</t>
  </si>
  <si>
    <t xml:space="preserve"> VI IMPALCATO, direzione y</t>
  </si>
  <si>
    <t xml:space="preserve"> VI IMPALCATO, direzione x</t>
  </si>
  <si>
    <t>ordine</t>
  </si>
  <si>
    <t>kx</t>
  </si>
  <si>
    <t>ky</t>
  </si>
  <si>
    <t>controllo del periodo</t>
  </si>
  <si>
    <t>dr</t>
  </si>
  <si>
    <t>mu^2</t>
  </si>
  <si>
    <t>u(x)</t>
  </si>
  <si>
    <t>Tx</t>
  </si>
  <si>
    <t>M</t>
  </si>
  <si>
    <t>sezione 70x28</t>
  </si>
  <si>
    <t>Ty</t>
  </si>
  <si>
    <t>x pilastri equivalenti</t>
  </si>
  <si>
    <t>y pilastri equivalenti</t>
  </si>
  <si>
    <t>5-4-3-2</t>
  </si>
  <si>
    <t>piano tipo direzione x</t>
  </si>
  <si>
    <t>y=</t>
  </si>
  <si>
    <t>x=</t>
  </si>
  <si>
    <t>somma</t>
  </si>
  <si>
    <t>sy</t>
  </si>
  <si>
    <t>sy^2</t>
  </si>
  <si>
    <t>yGk</t>
  </si>
  <si>
    <t>yGm</t>
  </si>
  <si>
    <t>piano tipo direzione y</t>
  </si>
  <si>
    <t>s*y</t>
  </si>
  <si>
    <t>s*y^2</t>
  </si>
  <si>
    <t>xGk=</t>
  </si>
  <si>
    <t>xGm=</t>
  </si>
  <si>
    <t>piano interrato direzione x</t>
  </si>
  <si>
    <t>yGk=</t>
  </si>
  <si>
    <t>yGm=</t>
  </si>
  <si>
    <t>s*x</t>
  </si>
  <si>
    <t>s*x^2</t>
  </si>
  <si>
    <t>6(tetto)</t>
  </si>
  <si>
    <t>xGk</t>
  </si>
  <si>
    <t>xGm</t>
  </si>
  <si>
    <t>å kx</t>
  </si>
  <si>
    <t>å ky</t>
  </si>
  <si>
    <t>condizioni più gravose</t>
  </si>
  <si>
    <t>T1 calcolato conformula di normativa=</t>
  </si>
  <si>
    <t>0,709s</t>
  </si>
  <si>
    <t>iniazialmente si erano considerati</t>
  </si>
  <si>
    <t>pilastri lungo x</t>
  </si>
  <si>
    <t>pilastri lungo y</t>
  </si>
  <si>
    <t>piano interrato direzione y</t>
  </si>
  <si>
    <t>ultimo impalcato direzione x</t>
  </si>
  <si>
    <t>ultimo impalcato direzione y</t>
  </si>
  <si>
    <t>superficie[ m^2]</t>
  </si>
  <si>
    <t>z[m]</t>
  </si>
  <si>
    <t>Peso impalcato [kN]</t>
  </si>
  <si>
    <t>Peso Unitario[kN/m^2]</t>
  </si>
  <si>
    <t>W[kN]</t>
  </si>
  <si>
    <t>Wz[kNm]</t>
  </si>
  <si>
    <t>F[kN]</t>
  </si>
  <si>
    <t>V[kN]</t>
  </si>
  <si>
    <t>V pilastro[kN]</t>
  </si>
  <si>
    <t>braccio[m]</t>
  </si>
  <si>
    <t>M pilastro[kNm]</t>
  </si>
  <si>
    <t>M trave[kNm]</t>
  </si>
  <si>
    <r>
      <rPr>
        <sz val="11"/>
        <rFont val="Symbol"/>
        <family val="1"/>
        <charset val="2"/>
      </rPr>
      <t>D</t>
    </r>
    <r>
      <rPr>
        <sz val="11"/>
        <rFont val="Calibri"/>
        <family val="2"/>
        <scheme val="minor"/>
      </rPr>
      <t>N pilastro</t>
    </r>
  </si>
  <si>
    <t>d</t>
  </si>
  <si>
    <t>Mpil(PREVISIONE)</t>
  </si>
  <si>
    <t>Mpilastro(Analisi statica)</t>
  </si>
  <si>
    <t>1piede</t>
  </si>
  <si>
    <t>Mpilastro sisma  direzione x</t>
  </si>
  <si>
    <t>M pilastro sisma direzione y</t>
  </si>
  <si>
    <t>M travi previsione</t>
  </si>
  <si>
    <t>Msin trave( Analisi statica)</t>
  </si>
  <si>
    <t>Mdex(Analisi statica)</t>
  </si>
  <si>
    <t>M travi sisma direzione y</t>
  </si>
  <si>
    <t>Confronto rigidezze</t>
  </si>
  <si>
    <t>previsione</t>
  </si>
  <si>
    <t>Fx[kN]</t>
  </si>
  <si>
    <t>F[ykN]</t>
  </si>
  <si>
    <t>telaio 1 DIREZIONE X</t>
  </si>
  <si>
    <t>tel08(Analisi statica)</t>
  </si>
  <si>
    <t>telaio 2DIREZIONE X</t>
  </si>
  <si>
    <t>telaio 3 DIREZIONE X</t>
  </si>
  <si>
    <t>telaio 4 DIREZIONE X</t>
  </si>
  <si>
    <t>telaio 5 DIREZIONE X</t>
  </si>
  <si>
    <t>telaio 6 DIREZIONE X</t>
  </si>
  <si>
    <t>telaio 7 DIREZIONE X</t>
  </si>
  <si>
    <t>telaio 8 DIREZIONE y</t>
  </si>
  <si>
    <t>telaio 9 DIREZIONE y</t>
  </si>
  <si>
    <t>telaio 10 DIREZIONE y</t>
  </si>
  <si>
    <t>telaio 11 DIREZIONE y</t>
  </si>
  <si>
    <t>telaio 12 DIREZIONE y</t>
  </si>
  <si>
    <t>rot</t>
  </si>
  <si>
    <t>spostamenti tel 08</t>
  </si>
  <si>
    <t>1 comb</t>
  </si>
  <si>
    <t>2 comb</t>
  </si>
  <si>
    <t>2comb</t>
  </si>
  <si>
    <t>1comb</t>
  </si>
  <si>
    <t>xgk</t>
  </si>
  <si>
    <t>ygk</t>
  </si>
  <si>
    <t>confronti spostamenti</t>
  </si>
  <si>
    <t>u(y)</t>
  </si>
  <si>
    <t>Fuy</t>
  </si>
  <si>
    <t>Fux</t>
  </si>
  <si>
    <t>previsione ux</t>
  </si>
  <si>
    <t>tel08 ux</t>
  </si>
  <si>
    <t>previsione uy</t>
  </si>
  <si>
    <t>tel08 uy</t>
  </si>
  <si>
    <t>30x70</t>
  </si>
  <si>
    <t>APPROCCIO per tipologia di pilastro</t>
  </si>
  <si>
    <t>DELTA</t>
  </si>
  <si>
    <t>DELTA=</t>
  </si>
  <si>
    <t>all'ultimo superiori andremo a ridurre la sezione</t>
  </si>
  <si>
    <t>M travi emergenti sisma direzione x</t>
  </si>
  <si>
    <t>il momento varia in base alla posizione in pianta a causa della rotazione</t>
  </si>
  <si>
    <t>ux</t>
  </si>
  <si>
    <t>uy</t>
  </si>
  <si>
    <t>ux+rot*yg</t>
  </si>
  <si>
    <t>uy+rot*xg</t>
  </si>
  <si>
    <t>telaio 1</t>
  </si>
  <si>
    <t>telaio 7</t>
  </si>
  <si>
    <t>spostamenti in x telai 1 e 7</t>
  </si>
  <si>
    <t>spostamenti in y telai 8 e 12</t>
  </si>
  <si>
    <t>telaio 8</t>
  </si>
  <si>
    <t>telaio 12</t>
  </si>
  <si>
    <t>differenze</t>
  </si>
  <si>
    <t>Controllo periodo direzione x</t>
  </si>
  <si>
    <t>masse</t>
  </si>
  <si>
    <t>forze x</t>
  </si>
  <si>
    <t>Fu(x)</t>
  </si>
  <si>
    <t>m*u(x)^2</t>
  </si>
  <si>
    <t>T (x)</t>
  </si>
  <si>
    <t>Controllo periodo direzione y</t>
  </si>
  <si>
    <t>forze y</t>
  </si>
  <si>
    <t>Fu(y)</t>
  </si>
  <si>
    <t>m*u(y)^2</t>
  </si>
  <si>
    <t>T(x)</t>
  </si>
  <si>
    <t>T(y)</t>
  </si>
  <si>
    <t>eccentricità accidentale</t>
  </si>
  <si>
    <t>per Fx  ea(m)</t>
  </si>
  <si>
    <t>per Fy ea(m)</t>
  </si>
  <si>
    <t xml:space="preserve">piano </t>
  </si>
  <si>
    <t>forze in direzione x</t>
  </si>
  <si>
    <t>ea(m)</t>
  </si>
  <si>
    <t>forze in direzione y</t>
  </si>
  <si>
    <t>(-)288,81</t>
  </si>
  <si>
    <t>(-)307,45</t>
  </si>
  <si>
    <t>(-)39,17</t>
  </si>
  <si>
    <t>(-)101,64</t>
  </si>
  <si>
    <t>(-)156,92</t>
  </si>
  <si>
    <t>(-)202,75</t>
  </si>
  <si>
    <t>(-)236,29</t>
  </si>
  <si>
    <t>(-)225,71</t>
  </si>
  <si>
    <t>(-)33,75</t>
  </si>
  <si>
    <t>(-)90,35</t>
  </si>
  <si>
    <t>(-)144,5</t>
  </si>
  <si>
    <t>(-)192,59</t>
  </si>
  <si>
    <t>(-)228,6</t>
  </si>
  <si>
    <t>(-)244,71</t>
  </si>
  <si>
    <t>raggio inerzia</t>
  </si>
  <si>
    <t>Confronti pilastri</t>
  </si>
  <si>
    <t>armatura 5f20 per questi valori di M e N</t>
  </si>
  <si>
    <t>armatura 5-6f20 per questi valori di M e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</si>
</sst>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0.0"/>
    <numFmt numFmtId="165" formatCode="0.000"/>
    <numFmt numFmtId="166" formatCode="#,##0.0000"/>
    <numFmt numFmtId="167" formatCode="_-* #,##0.000_-;\-* #,##0.000_-;_-* &quot;-&quot;??_-;_-@_-"/>
    <numFmt numFmtId="168" formatCode="#,##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9C6500"/>
      <name val="Symbol"/>
      <family val="1"/>
      <charset val="2"/>
    </font>
    <font>
      <sz val="11"/>
      <color theme="1"/>
      <name val="Symbol"/>
      <family val="1"/>
      <charset val="2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3F3F3F"/>
      <name val="Calibri"/>
      <family val="2"/>
      <scheme val="minor"/>
    </font>
    <font>
      <sz val="11"/>
      <name val="Calibri"/>
      <family val="2"/>
      <scheme val="minor"/>
    </font>
    <font>
      <sz val="11"/>
      <name val="Symbol"/>
      <family val="1"/>
      <charset val="2"/>
    </font>
    <font>
      <sz val="11"/>
      <color theme="0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5"/>
      </patternFill>
    </fill>
  </fills>
  <borders count="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/>
      <top/>
      <bottom/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thin">
        <color rgb="FF3F3F3F"/>
      </left>
      <right/>
      <top/>
      <bottom/>
      <diagonal/>
    </border>
  </borders>
  <cellStyleXfs count="11">
    <xf numFmtId="0" fontId="0" fillId="0" borderId="0"/>
    <xf numFmtId="0" fontId="3" fillId="2" borderId="0" applyNumberFormat="0" applyBorder="0" applyAlignment="0" applyProtection="0"/>
    <xf numFmtId="0" fontId="4" fillId="3" borderId="1" applyNumberFormat="0" applyAlignment="0" applyProtection="0"/>
    <xf numFmtId="0" fontId="1" fillId="4" borderId="3" applyNumberFormat="0" applyFont="0" applyAlignment="0" applyProtection="0"/>
    <xf numFmtId="0" fontId="5" fillId="5" borderId="0" applyNumberFormat="0" applyBorder="0" applyAlignment="0" applyProtection="0"/>
    <xf numFmtId="0" fontId="6" fillId="6" borderId="2" applyNumberFormat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43" fontId="1" fillId="0" borderId="0" applyFont="0" applyFill="0" applyBorder="0" applyAlignment="0" applyProtection="0"/>
    <xf numFmtId="0" fontId="1" fillId="13" borderId="0" applyNumberFormat="0" applyBorder="0" applyAlignment="0" applyProtection="0"/>
  </cellStyleXfs>
  <cellXfs count="115">
    <xf numFmtId="0" fontId="0" fillId="0" borderId="0" xfId="0"/>
    <xf numFmtId="0" fontId="0" fillId="0" borderId="0" xfId="0" applyAlignment="1">
      <alignment horizontal="center"/>
    </xf>
    <xf numFmtId="0" fontId="0" fillId="4" borderId="3" xfId="3" applyFont="1" applyAlignment="1">
      <alignment horizontal="center"/>
    </xf>
    <xf numFmtId="165" fontId="0" fillId="4" borderId="3" xfId="3" applyNumberFormat="1" applyFont="1" applyAlignment="1">
      <alignment horizontal="center"/>
    </xf>
    <xf numFmtId="164" fontId="0" fillId="4" borderId="3" xfId="3" applyNumberFormat="1" applyFont="1" applyAlignment="1">
      <alignment horizontal="center"/>
    </xf>
    <xf numFmtId="0" fontId="3" fillId="2" borderId="0" xfId="1" applyAlignment="1">
      <alignment horizontal="center"/>
    </xf>
    <xf numFmtId="0" fontId="3" fillId="2" borderId="0" xfId="1"/>
    <xf numFmtId="0" fontId="0" fillId="4" borderId="3" xfId="3" applyFont="1"/>
    <xf numFmtId="0" fontId="4" fillId="3" borderId="1" xfId="2" applyAlignment="1">
      <alignment horizontal="center"/>
    </xf>
    <xf numFmtId="0" fontId="4" fillId="3" borderId="1" xfId="2"/>
    <xf numFmtId="164" fontId="4" fillId="3" borderId="1" xfId="2" applyNumberFormat="1"/>
    <xf numFmtId="0" fontId="0" fillId="4" borderId="3" xfId="3" applyFont="1" applyAlignment="1"/>
    <xf numFmtId="2" fontId="0" fillId="4" borderId="3" xfId="3" applyNumberFormat="1" applyFont="1" applyAlignment="1">
      <alignment horizontal="center"/>
    </xf>
    <xf numFmtId="43" fontId="0" fillId="4" borderId="3" xfId="3" applyNumberFormat="1" applyFont="1" applyAlignment="1">
      <alignment horizontal="center"/>
    </xf>
    <xf numFmtId="0" fontId="2" fillId="4" borderId="3" xfId="3" applyFont="1" applyAlignment="1">
      <alignment horizontal="center"/>
    </xf>
    <xf numFmtId="0" fontId="0" fillId="9" borderId="0" xfId="0" applyFill="1"/>
    <xf numFmtId="2" fontId="0" fillId="0" borderId="0" xfId="0" applyNumberFormat="1"/>
    <xf numFmtId="164" fontId="0" fillId="0" borderId="0" xfId="0" applyNumberFormat="1"/>
    <xf numFmtId="0" fontId="1" fillId="8" borderId="0" xfId="7"/>
    <xf numFmtId="2" fontId="1" fillId="8" borderId="0" xfId="7" applyNumberFormat="1" applyAlignment="1">
      <alignment horizontal="center"/>
    </xf>
    <xf numFmtId="0" fontId="0" fillId="8" borderId="0" xfId="7" applyFont="1"/>
    <xf numFmtId="2" fontId="4" fillId="3" borderId="1" xfId="2" applyNumberFormat="1"/>
    <xf numFmtId="2" fontId="1" fillId="7" borderId="0" xfId="6" applyNumberFormat="1"/>
    <xf numFmtId="2" fontId="3" fillId="2" borderId="0" xfId="1" applyNumberFormat="1"/>
    <xf numFmtId="2" fontId="3" fillId="2" borderId="0" xfId="1" applyNumberFormat="1" applyAlignment="1">
      <alignment horizontal="center"/>
    </xf>
    <xf numFmtId="0" fontId="6" fillId="6" borderId="0" xfId="5" applyBorder="1"/>
    <xf numFmtId="0" fontId="5" fillId="5" borderId="1" xfId="4" applyBorder="1"/>
    <xf numFmtId="2" fontId="5" fillId="5" borderId="1" xfId="4" applyNumberFormat="1" applyBorder="1" applyAlignment="1">
      <alignment horizontal="center"/>
    </xf>
    <xf numFmtId="0" fontId="1" fillId="10" borderId="0" xfId="8"/>
    <xf numFmtId="164" fontId="1" fillId="10" borderId="0" xfId="8" applyNumberFormat="1"/>
    <xf numFmtId="0" fontId="3" fillId="2" borderId="4" xfId="1" applyBorder="1"/>
    <xf numFmtId="0" fontId="5" fillId="5" borderId="5" xfId="4" applyBorder="1"/>
    <xf numFmtId="0" fontId="6" fillId="4" borderId="3" xfId="3" applyFont="1"/>
    <xf numFmtId="0" fontId="10" fillId="9" borderId="0" xfId="0" applyFont="1" applyFill="1"/>
    <xf numFmtId="0" fontId="0" fillId="4" borderId="3" xfId="3" applyFont="1" applyAlignment="1">
      <alignment horizontal="left"/>
    </xf>
    <xf numFmtId="0" fontId="6" fillId="4" borderId="3" xfId="3" applyFont="1" applyAlignment="1">
      <alignment horizontal="center"/>
    </xf>
    <xf numFmtId="0" fontId="11" fillId="4" borderId="3" xfId="3" applyFont="1" applyAlignment="1">
      <alignment horizontal="center"/>
    </xf>
    <xf numFmtId="0" fontId="0" fillId="0" borderId="0" xfId="0" applyFont="1" applyAlignment="1">
      <alignment horizontal="center"/>
    </xf>
    <xf numFmtId="0" fontId="6" fillId="6" borderId="2" xfId="5" applyAlignment="1">
      <alignment horizontal="center"/>
    </xf>
    <xf numFmtId="0" fontId="6" fillId="6" borderId="2" xfId="5"/>
    <xf numFmtId="2" fontId="1" fillId="10" borderId="0" xfId="8" applyNumberFormat="1"/>
    <xf numFmtId="0" fontId="0" fillId="11" borderId="0" xfId="7" applyFont="1" applyFill="1"/>
    <xf numFmtId="0" fontId="1" fillId="11" borderId="0" xfId="7" applyFill="1"/>
    <xf numFmtId="0" fontId="0" fillId="11" borderId="0" xfId="0" applyFill="1"/>
    <xf numFmtId="43" fontId="0" fillId="4" borderId="3" xfId="3" applyNumberFormat="1" applyFont="1" applyAlignment="1"/>
    <xf numFmtId="0" fontId="10" fillId="9" borderId="0" xfId="0" applyFont="1" applyFill="1" applyAlignment="1">
      <alignment horizontal="center"/>
    </xf>
    <xf numFmtId="0" fontId="6" fillId="6" borderId="6" xfId="5" applyBorder="1" applyAlignment="1">
      <alignment horizontal="center"/>
    </xf>
    <xf numFmtId="164" fontId="6" fillId="4" borderId="3" xfId="3" applyNumberFormat="1" applyFont="1" applyAlignment="1">
      <alignment horizontal="center"/>
    </xf>
    <xf numFmtId="2" fontId="6" fillId="4" borderId="3" xfId="3" applyNumberFormat="1" applyFont="1"/>
    <xf numFmtId="164" fontId="6" fillId="4" borderId="3" xfId="3" applyNumberFormat="1" applyFont="1"/>
    <xf numFmtId="2" fontId="6" fillId="4" borderId="3" xfId="3" applyNumberFormat="1" applyFont="1" applyAlignment="1">
      <alignment horizontal="center"/>
    </xf>
    <xf numFmtId="0" fontId="0" fillId="0" borderId="0" xfId="0" applyAlignment="1"/>
    <xf numFmtId="0" fontId="4" fillId="3" borderId="1" xfId="2" applyAlignment="1"/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left" indent="1"/>
    </xf>
    <xf numFmtId="2" fontId="6" fillId="6" borderId="2" xfId="5" applyNumberFormat="1" applyAlignment="1">
      <alignment horizontal="center"/>
    </xf>
    <xf numFmtId="0" fontId="0" fillId="9" borderId="0" xfId="0" applyFill="1" applyAlignment="1">
      <alignment horizontal="center"/>
    </xf>
    <xf numFmtId="2" fontId="0" fillId="9" borderId="0" xfId="0" applyNumberFormat="1" applyFill="1" applyAlignment="1">
      <alignment horizontal="center"/>
    </xf>
    <xf numFmtId="2" fontId="0" fillId="9" borderId="0" xfId="0" applyNumberFormat="1" applyFill="1"/>
    <xf numFmtId="166" fontId="0" fillId="9" borderId="0" xfId="0" applyNumberFormat="1" applyFill="1" applyAlignment="1">
      <alignment horizontal="center"/>
    </xf>
    <xf numFmtId="0" fontId="6" fillId="6" borderId="2" xfId="5" applyAlignment="1"/>
    <xf numFmtId="165" fontId="4" fillId="3" borderId="1" xfId="2" applyNumberFormat="1"/>
    <xf numFmtId="0" fontId="1" fillId="4" borderId="3" xfId="3" applyAlignment="1">
      <alignment horizontal="center"/>
    </xf>
    <xf numFmtId="164" fontId="1" fillId="4" borderId="3" xfId="3" applyNumberFormat="1" applyAlignment="1">
      <alignment horizontal="center"/>
    </xf>
    <xf numFmtId="0" fontId="1" fillId="4" borderId="3" xfId="3"/>
    <xf numFmtId="0" fontId="3" fillId="4" borderId="3" xfId="3" applyFont="1" applyAlignment="1">
      <alignment horizontal="center"/>
    </xf>
    <xf numFmtId="1" fontId="3" fillId="4" borderId="3" xfId="3" applyNumberFormat="1" applyFont="1" applyAlignment="1">
      <alignment horizontal="center"/>
    </xf>
    <xf numFmtId="2" fontId="3" fillId="4" borderId="3" xfId="3" applyNumberFormat="1" applyFont="1" applyAlignment="1">
      <alignment horizontal="center"/>
    </xf>
    <xf numFmtId="164" fontId="3" fillId="4" borderId="3" xfId="3" applyNumberFormat="1" applyFont="1" applyAlignment="1">
      <alignment horizontal="center"/>
    </xf>
    <xf numFmtId="0" fontId="3" fillId="4" borderId="3" xfId="3" applyFont="1"/>
    <xf numFmtId="164" fontId="6" fillId="6" borderId="2" xfId="5" applyNumberFormat="1" applyAlignment="1">
      <alignment horizontal="center"/>
    </xf>
    <xf numFmtId="164" fontId="1" fillId="4" borderId="3" xfId="3" applyNumberFormat="1"/>
    <xf numFmtId="165" fontId="1" fillId="4" borderId="3" xfId="3" applyNumberFormat="1"/>
    <xf numFmtId="0" fontId="1" fillId="9" borderId="3" xfId="3" applyFill="1"/>
    <xf numFmtId="0" fontId="0" fillId="9" borderId="3" xfId="3" applyFont="1" applyFill="1"/>
    <xf numFmtId="165" fontId="1" fillId="4" borderId="3" xfId="3" applyNumberFormat="1" applyAlignment="1">
      <alignment horizontal="center"/>
    </xf>
    <xf numFmtId="2" fontId="1" fillId="4" borderId="3" xfId="3" applyNumberFormat="1"/>
    <xf numFmtId="0" fontId="12" fillId="4" borderId="3" xfId="3" applyFont="1" applyAlignment="1">
      <alignment horizontal="center"/>
    </xf>
    <xf numFmtId="164" fontId="12" fillId="4" borderId="3" xfId="3" applyNumberFormat="1" applyFont="1" applyAlignment="1">
      <alignment horizontal="center"/>
    </xf>
    <xf numFmtId="164" fontId="12" fillId="4" borderId="3" xfId="3" applyNumberFormat="1" applyFont="1"/>
    <xf numFmtId="2" fontId="12" fillId="4" borderId="3" xfId="3" applyNumberFormat="1" applyFont="1"/>
    <xf numFmtId="0" fontId="12" fillId="4" borderId="3" xfId="3" applyFont="1"/>
    <xf numFmtId="2" fontId="12" fillId="4" borderId="3" xfId="3" applyNumberFormat="1" applyFont="1" applyAlignment="1">
      <alignment horizontal="center"/>
    </xf>
    <xf numFmtId="2" fontId="11" fillId="4" borderId="3" xfId="3" applyNumberFormat="1" applyFont="1" applyAlignment="1">
      <alignment horizontal="center"/>
    </xf>
    <xf numFmtId="165" fontId="6" fillId="4" borderId="3" xfId="3" applyNumberFormat="1" applyFont="1" applyAlignment="1">
      <alignment horizontal="center"/>
    </xf>
    <xf numFmtId="167" fontId="0" fillId="0" borderId="0" xfId="9" applyNumberFormat="1" applyFont="1" applyAlignment="1">
      <alignment horizontal="left"/>
    </xf>
    <xf numFmtId="0" fontId="8" fillId="0" borderId="0" xfId="0" applyFont="1"/>
    <xf numFmtId="166" fontId="0" fillId="0" borderId="0" xfId="0" applyNumberFormat="1"/>
    <xf numFmtId="168" fontId="0" fillId="0" borderId="0" xfId="0" applyNumberFormat="1"/>
    <xf numFmtId="165" fontId="0" fillId="0" borderId="0" xfId="0" applyNumberFormat="1"/>
    <xf numFmtId="2" fontId="0" fillId="4" borderId="3" xfId="3" applyNumberFormat="1" applyFont="1"/>
    <xf numFmtId="2" fontId="0" fillId="9" borderId="3" xfId="3" applyNumberFormat="1" applyFont="1" applyFill="1" applyAlignment="1">
      <alignment horizontal="center"/>
    </xf>
    <xf numFmtId="0" fontId="15" fillId="4" borderId="3" xfId="3" applyFont="1"/>
    <xf numFmtId="0" fontId="15" fillId="4" borderId="3" xfId="3" applyFont="1" applyAlignment="1">
      <alignment horizontal="center"/>
    </xf>
    <xf numFmtId="165" fontId="15" fillId="4" borderId="3" xfId="3" applyNumberFormat="1" applyFont="1"/>
    <xf numFmtId="0" fontId="16" fillId="4" borderId="3" xfId="3" applyFont="1" applyAlignment="1">
      <alignment horizontal="center"/>
    </xf>
    <xf numFmtId="0" fontId="15" fillId="12" borderId="3" xfId="3" applyFont="1" applyFill="1"/>
    <xf numFmtId="0" fontId="0" fillId="12" borderId="3" xfId="3" applyFont="1" applyFill="1" applyAlignment="1">
      <alignment horizontal="center"/>
    </xf>
    <xf numFmtId="0" fontId="0" fillId="12" borderId="0" xfId="0" applyFill="1"/>
    <xf numFmtId="0" fontId="12" fillId="12" borderId="3" xfId="3" applyFont="1" applyFill="1" applyAlignment="1">
      <alignment horizontal="center"/>
    </xf>
    <xf numFmtId="0" fontId="12" fillId="9" borderId="3" xfId="3" applyFont="1" applyFill="1" applyAlignment="1">
      <alignment horizontal="center"/>
    </xf>
    <xf numFmtId="0" fontId="10" fillId="4" borderId="3" xfId="3" applyFont="1"/>
    <xf numFmtId="0" fontId="10" fillId="4" borderId="3" xfId="3" applyFont="1" applyAlignment="1">
      <alignment horizontal="center"/>
    </xf>
    <xf numFmtId="0" fontId="17" fillId="4" borderId="3" xfId="3" applyFont="1" applyAlignment="1">
      <alignment horizontal="center"/>
    </xf>
    <xf numFmtId="0" fontId="1" fillId="13" borderId="1" xfId="10" applyBorder="1"/>
    <xf numFmtId="0" fontId="1" fillId="13" borderId="1" xfId="10" applyBorder="1" applyAlignment="1">
      <alignment horizontal="center"/>
    </xf>
    <xf numFmtId="0" fontId="1" fillId="9" borderId="1" xfId="10" applyFill="1" applyBorder="1"/>
    <xf numFmtId="2" fontId="1" fillId="9" borderId="1" xfId="10" applyNumberFormat="1" applyFill="1" applyBorder="1"/>
    <xf numFmtId="0" fontId="0" fillId="9" borderId="1" xfId="10" applyFont="1" applyFill="1" applyBorder="1"/>
    <xf numFmtId="2" fontId="4" fillId="3" borderId="1" xfId="2" applyNumberFormat="1" applyAlignment="1">
      <alignment horizontal="center"/>
    </xf>
    <xf numFmtId="164" fontId="4" fillId="3" borderId="1" xfId="2" applyNumberFormat="1" applyAlignment="1">
      <alignment horizontal="center"/>
    </xf>
    <xf numFmtId="165" fontId="6" fillId="6" borderId="2" xfId="5" applyNumberFormat="1"/>
    <xf numFmtId="164" fontId="1" fillId="13" borderId="1" xfId="10" applyNumberFormat="1" applyBorder="1" applyAlignment="1">
      <alignment horizontal="center"/>
    </xf>
    <xf numFmtId="2" fontId="1" fillId="13" borderId="1" xfId="10" applyNumberFormat="1" applyBorder="1" applyAlignment="1">
      <alignment horizontal="center"/>
    </xf>
    <xf numFmtId="0" fontId="14" fillId="9" borderId="0" xfId="0" applyFont="1" applyFill="1"/>
  </cellXfs>
  <cellStyles count="11">
    <cellStyle name="20% - Colore 1" xfId="10" builtinId="30"/>
    <cellStyle name="20% - Colore 3" xfId="6" builtinId="38"/>
    <cellStyle name="20% - Colore 4" xfId="7" builtinId="42"/>
    <cellStyle name="40% - Colore 6" xfId="8" builtinId="51"/>
    <cellStyle name="Input" xfId="2" builtinId="20"/>
    <cellStyle name="Migliaia" xfId="9" builtinId="3"/>
    <cellStyle name="Neutrale" xfId="1" builtinId="28"/>
    <cellStyle name="Normale" xfId="0" builtinId="0"/>
    <cellStyle name="Nota" xfId="3" builtinId="10"/>
    <cellStyle name="Output" xfId="5" builtinId="21"/>
    <cellStyle name="Valore valido" xfId="4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48</xdr:row>
      <xdr:rowOff>0</xdr:rowOff>
    </xdr:from>
    <xdr:to>
      <xdr:col>4</xdr:col>
      <xdr:colOff>485239</xdr:colOff>
      <xdr:row>67</xdr:row>
      <xdr:rowOff>50180</xdr:rowOff>
    </xdr:to>
    <xdr:pic>
      <xdr:nvPicPr>
        <xdr:cNvPr id="3" name="Immagine 2" descr="C:\Users\Purrazzo\Desktop\Image 3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813494"/>
          <a:ext cx="4873625" cy="35388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49</xdr:row>
      <xdr:rowOff>0</xdr:rowOff>
    </xdr:from>
    <xdr:to>
      <xdr:col>4</xdr:col>
      <xdr:colOff>504776</xdr:colOff>
      <xdr:row>68</xdr:row>
      <xdr:rowOff>2344</xdr:rowOff>
    </xdr:to>
    <xdr:pic>
      <xdr:nvPicPr>
        <xdr:cNvPr id="5" name="Immagine 4" descr="C:\Users\Purrazzo\Desktop\Image 4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190892"/>
          <a:ext cx="4900930" cy="3566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49</xdr:row>
      <xdr:rowOff>0</xdr:rowOff>
    </xdr:from>
    <xdr:to>
      <xdr:col>4</xdr:col>
      <xdr:colOff>324600</xdr:colOff>
      <xdr:row>68</xdr:row>
      <xdr:rowOff>144087</xdr:rowOff>
    </xdr:to>
    <xdr:pic>
      <xdr:nvPicPr>
        <xdr:cNvPr id="5" name="Immagine 4" descr="C:\Users\Purrazzo\Desktop\Image 5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825345"/>
          <a:ext cx="4910455" cy="3566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8"/>
  <sheetViews>
    <sheetView topLeftCell="A16" zoomScale="60" zoomScaleNormal="60" workbookViewId="0">
      <selection activeCell="C103" sqref="C103"/>
    </sheetView>
  </sheetViews>
  <sheetFormatPr defaultRowHeight="15" x14ac:dyDescent="0.25"/>
  <cols>
    <col min="1" max="1" width="24" customWidth="1"/>
    <col min="2" max="2" width="16.85546875" customWidth="1"/>
    <col min="3" max="3" width="16.7109375" customWidth="1"/>
    <col min="4" max="4" width="22.7109375" customWidth="1"/>
    <col min="5" max="5" width="20.5703125" customWidth="1"/>
  </cols>
  <sheetData>
    <row r="1" spans="1:11" x14ac:dyDescent="0.25">
      <c r="A1" s="2"/>
      <c r="B1" s="2" t="s">
        <v>18</v>
      </c>
      <c r="C1" s="2" t="s">
        <v>19</v>
      </c>
      <c r="D1" s="2" t="s">
        <v>20</v>
      </c>
      <c r="E1" s="11" t="s">
        <v>80</v>
      </c>
      <c r="F1" s="7"/>
      <c r="G1" s="7"/>
    </row>
    <row r="2" spans="1:11" x14ac:dyDescent="0.25">
      <c r="A2" s="2" t="s">
        <v>17</v>
      </c>
      <c r="B2" s="2">
        <f>3.68+1.94</f>
        <v>5.62</v>
      </c>
      <c r="C2" s="12">
        <f>1.2+2</f>
        <v>3.2</v>
      </c>
      <c r="D2" s="12">
        <f>B2*$H$5+C2*$I$5</f>
        <v>12.106000000000002</v>
      </c>
      <c r="E2" s="12">
        <f>(B2+1.2)+(2*$K$5)</f>
        <v>7.42</v>
      </c>
    </row>
    <row r="3" spans="1:11" x14ac:dyDescent="0.25">
      <c r="A3" s="2" t="s">
        <v>21</v>
      </c>
      <c r="B3" s="2">
        <f>B2</f>
        <v>5.62</v>
      </c>
      <c r="C3" s="44">
        <v>2</v>
      </c>
      <c r="D3" s="12">
        <f t="shared" ref="D3:D9" si="0">B3*$H$5+C3*$I$5</f>
        <v>10.306000000000001</v>
      </c>
      <c r="E3" s="12">
        <f>B3+C3*$K$5</f>
        <v>6.22</v>
      </c>
    </row>
    <row r="4" spans="1:11" x14ac:dyDescent="0.25">
      <c r="A4" s="2" t="s">
        <v>22</v>
      </c>
      <c r="B4" s="2">
        <f>3.15+2.18</f>
        <v>5.33</v>
      </c>
      <c r="C4" s="12">
        <v>4</v>
      </c>
      <c r="D4" s="12">
        <f t="shared" si="0"/>
        <v>12.929</v>
      </c>
      <c r="E4" s="12">
        <f>B4+C4*$K$5</f>
        <v>6.53</v>
      </c>
      <c r="H4" s="6" t="s">
        <v>77</v>
      </c>
      <c r="I4" s="6" t="s">
        <v>78</v>
      </c>
      <c r="J4" s="6" t="s">
        <v>79</v>
      </c>
      <c r="K4" s="6" t="s">
        <v>81</v>
      </c>
    </row>
    <row r="5" spans="1:11" x14ac:dyDescent="0.25">
      <c r="A5" s="2" t="s">
        <v>23</v>
      </c>
      <c r="B5" s="13">
        <v>5</v>
      </c>
      <c r="C5" s="12">
        <v>4</v>
      </c>
      <c r="D5" s="12">
        <f t="shared" si="0"/>
        <v>12.5</v>
      </c>
      <c r="E5" s="12">
        <v>7.4</v>
      </c>
      <c r="H5" s="5">
        <v>1.3</v>
      </c>
      <c r="I5" s="5">
        <v>1.5</v>
      </c>
      <c r="J5" s="5">
        <v>1.5</v>
      </c>
      <c r="K5" s="5">
        <v>0.3</v>
      </c>
    </row>
    <row r="6" spans="1:11" x14ac:dyDescent="0.25">
      <c r="A6" s="2" t="s">
        <v>24</v>
      </c>
      <c r="B6" s="12">
        <v>10.48</v>
      </c>
      <c r="C6" s="12">
        <v>0</v>
      </c>
      <c r="D6" s="12">
        <f t="shared" si="0"/>
        <v>13.624000000000001</v>
      </c>
      <c r="E6" s="12">
        <f>B6+C6*$K$5</f>
        <v>10.48</v>
      </c>
      <c r="H6" s="6"/>
      <c r="I6" s="6"/>
      <c r="J6" s="6"/>
      <c r="K6" s="6"/>
    </row>
    <row r="7" spans="1:11" x14ac:dyDescent="0.25">
      <c r="A7" s="14" t="s">
        <v>25</v>
      </c>
      <c r="B7" s="2">
        <v>3.05</v>
      </c>
      <c r="C7" s="12">
        <v>0</v>
      </c>
      <c r="D7" s="12">
        <f t="shared" si="0"/>
        <v>3.9649999999999999</v>
      </c>
      <c r="E7" s="12">
        <f>B7+C7*$K$5</f>
        <v>3.05</v>
      </c>
      <c r="H7" s="6" t="s">
        <v>28</v>
      </c>
      <c r="I7" s="6">
        <v>6.625</v>
      </c>
      <c r="J7" s="6"/>
      <c r="K7" s="6"/>
    </row>
    <row r="8" spans="1:11" x14ac:dyDescent="0.25">
      <c r="A8" s="2" t="s">
        <v>42</v>
      </c>
      <c r="B8" s="2">
        <v>3.35</v>
      </c>
      <c r="C8" s="12">
        <v>0</v>
      </c>
      <c r="D8" s="12">
        <f>B8*$H$5+C8*$I$5</f>
        <v>4.3550000000000004</v>
      </c>
      <c r="E8" s="12">
        <f>B8+C8*$K$5</f>
        <v>3.35</v>
      </c>
      <c r="H8" s="6"/>
      <c r="I8" s="6"/>
      <c r="J8" s="6"/>
      <c r="K8" s="6"/>
    </row>
    <row r="9" spans="1:11" x14ac:dyDescent="0.25">
      <c r="A9" s="2" t="s">
        <v>26</v>
      </c>
      <c r="B9" s="2">
        <v>14.18</v>
      </c>
      <c r="C9" s="12">
        <v>0</v>
      </c>
      <c r="D9" s="12">
        <f t="shared" si="0"/>
        <v>18.434000000000001</v>
      </c>
      <c r="E9" s="12">
        <f>B9+C9*$K$5</f>
        <v>14.18</v>
      </c>
      <c r="H9" s="6" t="s">
        <v>27</v>
      </c>
      <c r="I9" s="6"/>
      <c r="J9" s="6">
        <f>1/25*I7</f>
        <v>0.26500000000000001</v>
      </c>
      <c r="K9" s="6"/>
    </row>
    <row r="10" spans="1:11" x14ac:dyDescent="0.25">
      <c r="A10" s="7"/>
      <c r="B10" s="7"/>
      <c r="C10" s="7"/>
      <c r="D10" s="7"/>
      <c r="E10" s="7"/>
      <c r="H10" s="6"/>
      <c r="I10" s="6"/>
      <c r="J10" s="6"/>
      <c r="K10" s="6"/>
    </row>
    <row r="11" spans="1:11" x14ac:dyDescent="0.25">
      <c r="A11" s="2" t="s">
        <v>31</v>
      </c>
      <c r="B11" s="7"/>
      <c r="C11" s="7"/>
      <c r="D11" s="4">
        <f>SUM(D2:D9)</f>
        <v>88.219000000000008</v>
      </c>
      <c r="E11" s="4">
        <f>SUM(E2:E9)</f>
        <v>58.629999999999995</v>
      </c>
      <c r="H11" s="6" t="s">
        <v>29</v>
      </c>
      <c r="I11" s="6"/>
      <c r="J11" s="5" t="s">
        <v>30</v>
      </c>
      <c r="K11" s="6"/>
    </row>
    <row r="14" spans="1:11" x14ac:dyDescent="0.25">
      <c r="A14" s="20" t="s">
        <v>96</v>
      </c>
      <c r="B14" s="18" t="s">
        <v>82</v>
      </c>
      <c r="C14" s="18"/>
    </row>
    <row r="15" spans="1:11" x14ac:dyDescent="0.25">
      <c r="A15" s="18"/>
      <c r="B15" s="18" t="s">
        <v>39</v>
      </c>
      <c r="C15" s="18" t="s">
        <v>40</v>
      </c>
    </row>
    <row r="16" spans="1:11" x14ac:dyDescent="0.25">
      <c r="A16" s="18" t="s">
        <v>36</v>
      </c>
      <c r="B16" s="19">
        <f>D2*J16*F17</f>
        <v>43.991993400000005</v>
      </c>
      <c r="C16" s="19">
        <f>E2*J16*F17</f>
        <v>26.963538</v>
      </c>
      <c r="E16" s="15" t="s">
        <v>41</v>
      </c>
      <c r="F16" s="15">
        <v>1.1000000000000001</v>
      </c>
      <c r="H16" s="28" t="s">
        <v>52</v>
      </c>
      <c r="I16" s="28"/>
      <c r="J16" s="40">
        <f>7.2678/2</f>
        <v>3.6339000000000001</v>
      </c>
    </row>
    <row r="17" spans="1:10" x14ac:dyDescent="0.25">
      <c r="A17" s="18" t="s">
        <v>50</v>
      </c>
      <c r="B17" s="19">
        <f>D4*J17</f>
        <v>25.858000000000001</v>
      </c>
      <c r="C17" s="19">
        <f>E4*J17</f>
        <v>13.06</v>
      </c>
      <c r="F17" s="15">
        <v>1</v>
      </c>
      <c r="H17" s="28" t="s">
        <v>83</v>
      </c>
      <c r="I17" s="28"/>
      <c r="J17" s="28">
        <v>2</v>
      </c>
    </row>
    <row r="18" spans="1:10" x14ac:dyDescent="0.25">
      <c r="A18" s="18" t="s">
        <v>38</v>
      </c>
      <c r="B18" s="19">
        <f>D8</f>
        <v>4.3550000000000004</v>
      </c>
      <c r="C18" s="19">
        <f>E8</f>
        <v>3.35</v>
      </c>
    </row>
    <row r="19" spans="1:10" x14ac:dyDescent="0.25">
      <c r="A19" s="18" t="s">
        <v>56</v>
      </c>
      <c r="B19" s="19">
        <f>D6</f>
        <v>13.624000000000001</v>
      </c>
      <c r="C19" s="19">
        <f>E6</f>
        <v>10.48</v>
      </c>
    </row>
    <row r="20" spans="1:10" x14ac:dyDescent="0.25">
      <c r="A20" s="18" t="s">
        <v>31</v>
      </c>
      <c r="B20" s="19">
        <f>SUM(B16:B19)</f>
        <v>87.828993400000002</v>
      </c>
      <c r="C20" s="19">
        <f>SUM(C16:C19)</f>
        <v>53.853538</v>
      </c>
      <c r="E20" s="16"/>
    </row>
    <row r="22" spans="1:10" x14ac:dyDescent="0.25">
      <c r="A22" s="18" t="s">
        <v>43</v>
      </c>
      <c r="B22" s="18"/>
      <c r="C22" s="18"/>
    </row>
    <row r="23" spans="1:10" x14ac:dyDescent="0.25">
      <c r="A23" s="18"/>
      <c r="B23" s="18" t="s">
        <v>39</v>
      </c>
      <c r="C23" s="18" t="s">
        <v>40</v>
      </c>
      <c r="E23" s="29" t="s">
        <v>84</v>
      </c>
      <c r="F23" s="28">
        <v>0.5</v>
      </c>
    </row>
    <row r="24" spans="1:10" x14ac:dyDescent="0.25">
      <c r="A24" s="18" t="s">
        <v>36</v>
      </c>
      <c r="B24" s="19">
        <f>D2*(0.5*F17)</f>
        <v>6.0530000000000008</v>
      </c>
      <c r="C24" s="19">
        <f>E2*(0.5*F17)</f>
        <v>3.71</v>
      </c>
      <c r="E24" s="28" t="s">
        <v>85</v>
      </c>
      <c r="F24" s="28">
        <v>0.5</v>
      </c>
    </row>
    <row r="25" spans="1:10" x14ac:dyDescent="0.25">
      <c r="A25" s="18" t="s">
        <v>37</v>
      </c>
      <c r="B25" s="19">
        <f>D2*(0.5*F16)</f>
        <v>6.6583000000000014</v>
      </c>
      <c r="C25" s="19">
        <f>E2*(0.5*F16)</f>
        <v>4.0810000000000004</v>
      </c>
    </row>
    <row r="26" spans="1:10" x14ac:dyDescent="0.25">
      <c r="A26" s="18" t="s">
        <v>38</v>
      </c>
      <c r="B26" s="19">
        <f>D7</f>
        <v>3.9649999999999999</v>
      </c>
      <c r="C26" s="19">
        <f>E7</f>
        <v>3.05</v>
      </c>
    </row>
    <row r="27" spans="1:10" x14ac:dyDescent="0.25">
      <c r="A27" s="18" t="s">
        <v>31</v>
      </c>
      <c r="B27" s="19">
        <f>SUM(B24:B26)</f>
        <v>16.676300000000001</v>
      </c>
      <c r="C27" s="19">
        <f>SUM(C24:C26)</f>
        <v>10.841000000000001</v>
      </c>
      <c r="E27" s="16"/>
      <c r="F27" s="16"/>
      <c r="G27" s="16"/>
    </row>
    <row r="30" spans="1:10" x14ac:dyDescent="0.25">
      <c r="A30" s="20" t="s">
        <v>44</v>
      </c>
      <c r="B30" s="18"/>
      <c r="C30" s="18"/>
    </row>
    <row r="31" spans="1:10" x14ac:dyDescent="0.25">
      <c r="A31" s="18"/>
      <c r="B31" s="18" t="s">
        <v>39</v>
      </c>
      <c r="C31" s="18" t="s">
        <v>40</v>
      </c>
      <c r="E31" s="28" t="s">
        <v>84</v>
      </c>
      <c r="F31" s="28">
        <f>(7.2678/2)</f>
        <v>3.6339000000000001</v>
      </c>
    </row>
    <row r="32" spans="1:10" x14ac:dyDescent="0.25">
      <c r="A32" s="18" t="s">
        <v>36</v>
      </c>
      <c r="B32" s="19">
        <f>D2*(F31*F17)</f>
        <v>43.991993400000005</v>
      </c>
      <c r="C32" s="19">
        <f>E2*(F31*F17)</f>
        <v>26.963538</v>
      </c>
      <c r="E32" s="28" t="s">
        <v>85</v>
      </c>
      <c r="F32" s="28">
        <f>(5.662/2)</f>
        <v>2.831</v>
      </c>
    </row>
    <row r="33" spans="1:6" x14ac:dyDescent="0.25">
      <c r="A33" s="18" t="s">
        <v>37</v>
      </c>
      <c r="B33" s="19">
        <f>D2*(F32*F17)</f>
        <v>34.272086000000002</v>
      </c>
      <c r="C33" s="19">
        <f>E2*(F32*F17)</f>
        <v>21.006019999999999</v>
      </c>
    </row>
    <row r="34" spans="1:6" x14ac:dyDescent="0.25">
      <c r="A34" s="18" t="s">
        <v>38</v>
      </c>
      <c r="B34" s="19">
        <f>D8</f>
        <v>4.3550000000000004</v>
      </c>
      <c r="C34" s="19">
        <f>E8</f>
        <v>3.35</v>
      </c>
    </row>
    <row r="35" spans="1:6" x14ac:dyDescent="0.25">
      <c r="A35" s="18" t="s">
        <v>31</v>
      </c>
      <c r="B35" s="19">
        <f>SUM(B32:B34)</f>
        <v>82.619079400000018</v>
      </c>
      <c r="C35" s="19">
        <f>SUM(C32:C34)</f>
        <v>51.319558000000001</v>
      </c>
    </row>
    <row r="38" spans="1:6" x14ac:dyDescent="0.25">
      <c r="A38" s="20" t="s">
        <v>45</v>
      </c>
      <c r="B38" s="18"/>
      <c r="C38" s="18"/>
    </row>
    <row r="39" spans="1:6" x14ac:dyDescent="0.25">
      <c r="A39" s="18"/>
      <c r="B39" s="18" t="s">
        <v>39</v>
      </c>
      <c r="C39" s="18" t="s">
        <v>40</v>
      </c>
      <c r="E39" s="28" t="s">
        <v>84</v>
      </c>
      <c r="F39" s="28">
        <f>7.075/2</f>
        <v>3.5375000000000001</v>
      </c>
    </row>
    <row r="40" spans="1:6" x14ac:dyDescent="0.25">
      <c r="A40" s="18" t="s">
        <v>36</v>
      </c>
      <c r="B40" s="19">
        <f>D2*(F39*F16)</f>
        <v>47.107472500000007</v>
      </c>
      <c r="C40" s="19">
        <f>E2*(F39*F16)</f>
        <v>28.873075000000004</v>
      </c>
      <c r="E40" s="28" t="s">
        <v>85</v>
      </c>
      <c r="F40" s="28">
        <f>5.825/2</f>
        <v>2.9125000000000001</v>
      </c>
    </row>
    <row r="41" spans="1:6" x14ac:dyDescent="0.25">
      <c r="A41" s="18" t="s">
        <v>37</v>
      </c>
      <c r="B41" s="19">
        <f>D2*(F40*F17)</f>
        <v>35.258725000000005</v>
      </c>
      <c r="C41" s="19">
        <f>E2*(2.765*F17)</f>
        <v>20.516300000000001</v>
      </c>
    </row>
    <row r="42" spans="1:6" x14ac:dyDescent="0.25">
      <c r="A42" s="18" t="s">
        <v>38</v>
      </c>
      <c r="B42" s="19">
        <f>D7</f>
        <v>3.9649999999999999</v>
      </c>
      <c r="C42" s="19">
        <f>E7</f>
        <v>3.05</v>
      </c>
    </row>
    <row r="43" spans="1:6" x14ac:dyDescent="0.25">
      <c r="A43" s="18" t="s">
        <v>31</v>
      </c>
      <c r="B43" s="19">
        <f>SUM(B40:B42)</f>
        <v>86.331197500000016</v>
      </c>
      <c r="C43" s="19">
        <f>SUM(C40:C42)</f>
        <v>52.439374999999998</v>
      </c>
    </row>
    <row r="53" spans="1:6" x14ac:dyDescent="0.25">
      <c r="A53" s="6" t="s">
        <v>48</v>
      </c>
      <c r="B53" s="6" t="s">
        <v>39</v>
      </c>
      <c r="C53" s="6" t="s">
        <v>40</v>
      </c>
      <c r="D53" s="6" t="s">
        <v>90</v>
      </c>
      <c r="E53" s="9" t="s">
        <v>51</v>
      </c>
      <c r="F53" s="9">
        <v>1</v>
      </c>
    </row>
    <row r="54" spans="1:6" x14ac:dyDescent="0.25">
      <c r="A54" s="6" t="s">
        <v>46</v>
      </c>
      <c r="B54" s="24">
        <f>D2*F54</f>
        <v>240.29966514849005</v>
      </c>
      <c r="C54" s="24">
        <f>E2*F54</f>
        <v>147.28428179430003</v>
      </c>
      <c r="E54" s="9" t="s">
        <v>52</v>
      </c>
      <c r="F54" s="21">
        <f>(7.2678/2)*((5.2926/2)+(5.6321/2))</f>
        <v>19.849633665000002</v>
      </c>
    </row>
    <row r="55" spans="1:6" x14ac:dyDescent="0.25">
      <c r="A55" s="6" t="s">
        <v>47</v>
      </c>
      <c r="B55" s="24">
        <f>D8*F55</f>
        <v>39.614168750000012</v>
      </c>
      <c r="C55" s="24">
        <f>E8*F55</f>
        <v>30.472437500000005</v>
      </c>
      <c r="D55" s="22"/>
      <c r="E55" s="9" t="s">
        <v>53</v>
      </c>
      <c r="F55" s="21">
        <f>(5.2926/2)+(7.2678/2)+(5.6321/2)</f>
        <v>9.0962500000000013</v>
      </c>
    </row>
    <row r="56" spans="1:6" x14ac:dyDescent="0.25">
      <c r="A56" s="6" t="s">
        <v>49</v>
      </c>
      <c r="B56" s="24">
        <f>D6*F56</f>
        <v>74.419056400000017</v>
      </c>
      <c r="C56" s="24">
        <f>E6*F56</f>
        <v>57.245428000000011</v>
      </c>
      <c r="E56" s="9" t="s">
        <v>54</v>
      </c>
      <c r="F56" s="21">
        <f>(5.2926/2)+(5.6321/2)</f>
        <v>5.4623500000000007</v>
      </c>
    </row>
    <row r="57" spans="1:6" x14ac:dyDescent="0.25">
      <c r="A57" s="6" t="s">
        <v>50</v>
      </c>
      <c r="B57" s="24">
        <f>D4*F57</f>
        <v>135.19467430000003</v>
      </c>
      <c r="C57" s="24">
        <f>E4*F57</f>
        <v>68.282251000000016</v>
      </c>
      <c r="E57" s="9" t="s">
        <v>57</v>
      </c>
      <c r="F57" s="21">
        <f>2*((4.8246/2)+(5.6321/2))</f>
        <v>10.456700000000001</v>
      </c>
    </row>
    <row r="58" spans="1:6" x14ac:dyDescent="0.25">
      <c r="A58" s="6" t="s">
        <v>55</v>
      </c>
      <c r="B58" s="24">
        <f>D9</f>
        <v>18.434000000000001</v>
      </c>
      <c r="C58" s="24">
        <f>E9</f>
        <v>14.18</v>
      </c>
    </row>
    <row r="59" spans="1:6" x14ac:dyDescent="0.25">
      <c r="A59" s="6" t="s">
        <v>31</v>
      </c>
      <c r="B59" s="24">
        <f>SUM(B54:B58)</f>
        <v>507.9615645984901</v>
      </c>
      <c r="C59" s="24">
        <f>SUM(C54:C58)</f>
        <v>317.46439829430005</v>
      </c>
    </row>
    <row r="63" spans="1:6" x14ac:dyDescent="0.25">
      <c r="A63" s="26" t="s">
        <v>58</v>
      </c>
      <c r="B63" s="26" t="s">
        <v>39</v>
      </c>
      <c r="C63" s="26" t="s">
        <v>40</v>
      </c>
      <c r="D63" s="31" t="s">
        <v>89</v>
      </c>
      <c r="E63" s="30" t="s">
        <v>86</v>
      </c>
      <c r="F63" s="6">
        <v>1</v>
      </c>
    </row>
    <row r="64" spans="1:6" x14ac:dyDescent="0.25">
      <c r="A64" s="26" t="s">
        <v>46</v>
      </c>
      <c r="B64" s="27">
        <f>D2*F64</f>
        <v>71.046330875000024</v>
      </c>
      <c r="C64" s="27">
        <f>E2*F64</f>
        <v>43.545661250000009</v>
      </c>
      <c r="E64" s="6" t="s">
        <v>59</v>
      </c>
      <c r="F64" s="23">
        <f>(5.825/2)*(4.03/2)</f>
        <v>5.8686875000000009</v>
      </c>
    </row>
    <row r="65" spans="1:6" x14ac:dyDescent="0.25">
      <c r="A65" s="26" t="s">
        <v>47</v>
      </c>
      <c r="B65" s="27">
        <f>D8*F65</f>
        <v>21.459262500000005</v>
      </c>
      <c r="C65" s="27">
        <f>E8*F65</f>
        <v>16.507125000000002</v>
      </c>
      <c r="E65" s="6" t="s">
        <v>60</v>
      </c>
      <c r="F65" s="23">
        <f>(5.825/2)+(4.03/2)</f>
        <v>4.9275000000000002</v>
      </c>
    </row>
    <row r="66" spans="1:6" x14ac:dyDescent="0.25">
      <c r="A66" s="26" t="s">
        <v>56</v>
      </c>
      <c r="B66" s="27">
        <f>D6*F66</f>
        <v>67.132260000000002</v>
      </c>
      <c r="C66" s="27">
        <f>E6*F66</f>
        <v>51.640200000000007</v>
      </c>
      <c r="E66" s="6" t="s">
        <v>54</v>
      </c>
      <c r="F66" s="23">
        <f>(4.03/2)+(5.825/2)</f>
        <v>4.9275000000000002</v>
      </c>
    </row>
    <row r="67" spans="1:6" x14ac:dyDescent="0.25">
      <c r="A67" s="26" t="s">
        <v>55</v>
      </c>
      <c r="B67" s="27">
        <f>D9</f>
        <v>18.434000000000001</v>
      </c>
      <c r="C67" s="27">
        <f>E9</f>
        <v>14.18</v>
      </c>
    </row>
    <row r="68" spans="1:6" x14ac:dyDescent="0.25">
      <c r="A68" s="26" t="s">
        <v>31</v>
      </c>
      <c r="B68" s="27">
        <f>SUM(B64:B67)</f>
        <v>178.07185337500002</v>
      </c>
      <c r="C68" s="27">
        <f>SUM(C64:C67)</f>
        <v>125.87298625000003</v>
      </c>
    </row>
    <row r="69" spans="1:6" x14ac:dyDescent="0.25">
      <c r="D69">
        <f>4.9+(5.9*1.2)</f>
        <v>11.98</v>
      </c>
      <c r="E69">
        <f>D69/2</f>
        <v>5.99</v>
      </c>
    </row>
    <row r="70" spans="1:6" x14ac:dyDescent="0.25">
      <c r="A70" s="25"/>
      <c r="B70" s="17"/>
    </row>
    <row r="71" spans="1:6" x14ac:dyDescent="0.25">
      <c r="A71" s="32"/>
      <c r="B71" s="4" t="s">
        <v>62</v>
      </c>
      <c r="C71" s="2" t="s">
        <v>61</v>
      </c>
      <c r="D71" s="2" t="s">
        <v>62</v>
      </c>
      <c r="E71" s="2" t="s">
        <v>61</v>
      </c>
    </row>
    <row r="72" spans="1:6" x14ac:dyDescent="0.25">
      <c r="A72" s="2" t="s">
        <v>87</v>
      </c>
      <c r="B72" s="2" t="s">
        <v>88</v>
      </c>
      <c r="C72" s="2" t="s">
        <v>91</v>
      </c>
      <c r="D72" s="2" t="s">
        <v>105</v>
      </c>
      <c r="E72" s="2" t="s">
        <v>105</v>
      </c>
    </row>
    <row r="73" spans="1:6" x14ac:dyDescent="0.25">
      <c r="A73" s="2">
        <v>6</v>
      </c>
      <c r="B73" s="4">
        <f>B59</f>
        <v>507.9615645984901</v>
      </c>
      <c r="C73" s="4">
        <f>B68</f>
        <v>178.07185337500002</v>
      </c>
      <c r="D73" s="4">
        <f>C59</f>
        <v>317.46439829430005</v>
      </c>
      <c r="E73" s="4">
        <f>C68</f>
        <v>125.87298625000003</v>
      </c>
    </row>
    <row r="74" spans="1:6" x14ac:dyDescent="0.25">
      <c r="A74" s="2">
        <v>5</v>
      </c>
      <c r="B74" s="4">
        <f>B73*2</f>
        <v>1015.9231291969802</v>
      </c>
      <c r="C74" s="4">
        <f>C73*2</f>
        <v>356.14370675000004</v>
      </c>
      <c r="D74" s="4">
        <f>D73*2</f>
        <v>634.92879658860011</v>
      </c>
      <c r="E74" s="4">
        <f>E73*2</f>
        <v>251.74597250000005</v>
      </c>
    </row>
    <row r="75" spans="1:6" x14ac:dyDescent="0.25">
      <c r="A75" s="2">
        <v>4</v>
      </c>
      <c r="B75" s="4">
        <f>B73*3</f>
        <v>1523.8846937954704</v>
      </c>
      <c r="C75" s="4">
        <f>C73*3</f>
        <v>534.21556012500002</v>
      </c>
      <c r="D75" s="4">
        <f>D73*3</f>
        <v>952.39319488290016</v>
      </c>
      <c r="E75" s="4">
        <f>E73*3</f>
        <v>377.61895875000005</v>
      </c>
    </row>
    <row r="76" spans="1:6" x14ac:dyDescent="0.25">
      <c r="A76" s="2">
        <v>3</v>
      </c>
      <c r="B76" s="4">
        <f>B73*4</f>
        <v>2031.8462583939604</v>
      </c>
      <c r="C76" s="4">
        <f>C73*4</f>
        <v>712.28741350000007</v>
      </c>
      <c r="D76" s="4">
        <f>D73*4</f>
        <v>1269.8575931772002</v>
      </c>
      <c r="E76" s="4">
        <f>E73*4</f>
        <v>503.4919450000001</v>
      </c>
    </row>
    <row r="77" spans="1:6" x14ac:dyDescent="0.25">
      <c r="A77" s="2">
        <v>2</v>
      </c>
      <c r="B77" s="4">
        <f>B73*5</f>
        <v>2539.8078229924504</v>
      </c>
      <c r="C77" s="4">
        <f>C73*5</f>
        <v>890.35926687500012</v>
      </c>
      <c r="D77" s="4">
        <f>D73*5</f>
        <v>1587.3219914715003</v>
      </c>
      <c r="E77" s="4">
        <f>E73*5</f>
        <v>629.36493125000015</v>
      </c>
    </row>
    <row r="78" spans="1:6" x14ac:dyDescent="0.25">
      <c r="A78" s="2">
        <v>1</v>
      </c>
      <c r="B78" s="4">
        <f>B73*6</f>
        <v>3047.7693875909408</v>
      </c>
      <c r="C78" s="4">
        <f>C73*6</f>
        <v>1068.43112025</v>
      </c>
      <c r="D78" s="4">
        <f>D73*6</f>
        <v>1904.7863897658003</v>
      </c>
      <c r="E78" s="4">
        <f>E73*6</f>
        <v>755.23791750000009</v>
      </c>
    </row>
  </sheetData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"/>
  <sheetViews>
    <sheetView topLeftCell="A34" zoomScale="65" zoomScaleNormal="65" workbookViewId="0">
      <selection activeCell="F51" sqref="F51"/>
    </sheetView>
  </sheetViews>
  <sheetFormatPr defaultRowHeight="15" x14ac:dyDescent="0.25"/>
  <cols>
    <col min="1" max="1" width="20.28515625" customWidth="1"/>
    <col min="2" max="2" width="11.5703125" customWidth="1"/>
    <col min="3" max="4" width="16.140625" customWidth="1"/>
    <col min="5" max="5" width="13.5703125" customWidth="1"/>
    <col min="6" max="6" width="15.140625" customWidth="1"/>
    <col min="7" max="7" width="11.85546875" customWidth="1"/>
    <col min="8" max="8" width="5.5703125" customWidth="1"/>
    <col min="9" max="9" width="15.28515625" customWidth="1"/>
    <col min="10" max="10" width="15.85546875" customWidth="1"/>
    <col min="11" max="11" width="11.28515625" customWidth="1"/>
    <col min="12" max="12" width="10.7109375" customWidth="1"/>
    <col min="14" max="14" width="12.28515625" customWidth="1"/>
    <col min="15" max="15" width="14.7109375" customWidth="1"/>
  </cols>
  <sheetData>
    <row r="1" spans="1:13" x14ac:dyDescent="0.25">
      <c r="A1" s="38"/>
      <c r="B1" s="38"/>
      <c r="C1" s="7"/>
      <c r="D1" s="52" t="s">
        <v>143</v>
      </c>
      <c r="E1" s="52" t="s">
        <v>154</v>
      </c>
      <c r="F1" s="9"/>
    </row>
    <row r="2" spans="1:13" x14ac:dyDescent="0.25">
      <c r="A2" s="38"/>
      <c r="B2" s="39"/>
      <c r="D2" s="8">
        <v>6</v>
      </c>
      <c r="E2" s="10">
        <f>rigidezze!C80</f>
        <v>13.946749908189496</v>
      </c>
      <c r="F2" s="9"/>
    </row>
    <row r="3" spans="1:13" x14ac:dyDescent="0.25">
      <c r="A3" s="38" t="s">
        <v>14</v>
      </c>
      <c r="B3" s="38">
        <v>3.3</v>
      </c>
      <c r="D3" s="8" t="s">
        <v>156</v>
      </c>
      <c r="E3" s="10">
        <f>rigidezze!C81</f>
        <v>13.016883116883117</v>
      </c>
      <c r="F3" s="9"/>
    </row>
    <row r="4" spans="1:13" x14ac:dyDescent="0.25">
      <c r="A4" s="38" t="s">
        <v>100</v>
      </c>
      <c r="B4" s="55">
        <v>3.8022</v>
      </c>
      <c r="D4" s="8">
        <v>1</v>
      </c>
      <c r="E4" s="21">
        <f>rigidezze!C82</f>
        <v>15.033909723781719</v>
      </c>
      <c r="F4" s="9"/>
    </row>
    <row r="5" spans="1:13" x14ac:dyDescent="0.25">
      <c r="I5" s="39"/>
      <c r="J5" s="39" t="s">
        <v>34</v>
      </c>
      <c r="K5" s="39"/>
      <c r="L5" s="39"/>
      <c r="M5" s="39"/>
    </row>
    <row r="6" spans="1:13" x14ac:dyDescent="0.25">
      <c r="A6" s="77" t="s">
        <v>15</v>
      </c>
      <c r="B6" s="77" t="s">
        <v>196</v>
      </c>
      <c r="C6" s="77" t="s">
        <v>197</v>
      </c>
      <c r="D6" s="77" t="s">
        <v>198</v>
      </c>
      <c r="E6" s="77" t="s">
        <v>199</v>
      </c>
      <c r="F6" s="77" t="s">
        <v>200</v>
      </c>
      <c r="G6" s="77" t="s">
        <v>201</v>
      </c>
      <c r="I6" s="39" t="s">
        <v>32</v>
      </c>
      <c r="J6" s="38" t="s">
        <v>33</v>
      </c>
      <c r="K6" s="39" t="s">
        <v>35</v>
      </c>
      <c r="L6" s="39"/>
      <c r="M6" s="39"/>
    </row>
    <row r="7" spans="1:13" x14ac:dyDescent="0.25">
      <c r="A7" s="77">
        <v>6</v>
      </c>
      <c r="B7" s="78">
        <f>'masse e forze direzione x'!F20</f>
        <v>433.74403225079692</v>
      </c>
      <c r="C7" s="78">
        <f>B7/E2</f>
        <v>31.100007894749982</v>
      </c>
      <c r="D7" s="77">
        <f>0.5*$B$3</f>
        <v>1.65</v>
      </c>
      <c r="E7" s="78">
        <f>C7*D7</f>
        <v>51.315013026337468</v>
      </c>
      <c r="F7" s="78">
        <f>E7/2</f>
        <v>25.657506513168734</v>
      </c>
      <c r="G7" s="79">
        <f>2*(F7/$B$4)</f>
        <v>13.49613724326376</v>
      </c>
      <c r="I7" s="55">
        <f>(C7*20/100)+C7</f>
        <v>37.320009473699983</v>
      </c>
      <c r="J7" s="70">
        <f>(E7*20/100)+E7</f>
        <v>61.578015631604963</v>
      </c>
      <c r="K7" s="70">
        <f>(F7*20/100)+F7</f>
        <v>30.789007815802481</v>
      </c>
      <c r="L7" s="39"/>
      <c r="M7" s="39"/>
    </row>
    <row r="8" spans="1:13" x14ac:dyDescent="0.25">
      <c r="A8" s="77">
        <v>5</v>
      </c>
      <c r="B8" s="78">
        <f>'masse e forze direzione x'!F21</f>
        <v>894.30250900282965</v>
      </c>
      <c r="C8" s="78">
        <f>B8/E3</f>
        <v>68.703275659201722</v>
      </c>
      <c r="D8" s="77">
        <f t="shared" ref="D8:D11" si="0">0.5*$B$3</f>
        <v>1.65</v>
      </c>
      <c r="E8" s="78">
        <f t="shared" ref="E8:E12" si="1">C8*D8</f>
        <v>113.36040483768284</v>
      </c>
      <c r="F8" s="78">
        <f>(E7+E8)/2</f>
        <v>82.337708932010145</v>
      </c>
      <c r="G8" s="80">
        <f>((F7+F8)/$B$4)*2</f>
        <v>56.806698987522417</v>
      </c>
      <c r="I8" s="55">
        <f t="shared" ref="I8:I12" si="2">(C8*20/100)+C8</f>
        <v>82.443930791042064</v>
      </c>
      <c r="J8" s="70">
        <f t="shared" ref="J8:K12" si="3">(E8*20/100)+E8</f>
        <v>136.03248580521941</v>
      </c>
      <c r="K8" s="70">
        <f t="shared" si="3"/>
        <v>98.805250718412168</v>
      </c>
      <c r="L8" s="39"/>
      <c r="M8" s="39"/>
    </row>
    <row r="9" spans="1:13" x14ac:dyDescent="0.25">
      <c r="A9" s="77">
        <v>4</v>
      </c>
      <c r="B9" s="78">
        <f>'masse e forze direzione x'!F22</f>
        <v>1263.8524244805085</v>
      </c>
      <c r="C9" s="78">
        <f>B9/E3</f>
        <v>97.093322044297267</v>
      </c>
      <c r="D9" s="77">
        <f t="shared" si="0"/>
        <v>1.65</v>
      </c>
      <c r="E9" s="78">
        <f t="shared" si="1"/>
        <v>160.20398137309047</v>
      </c>
      <c r="F9" s="78">
        <f>(E8+E9)/2</f>
        <v>136.78219310538665</v>
      </c>
      <c r="G9" s="80">
        <f t="shared" ref="G9:G12" si="4">((F8+F9)/$B$4)*2</f>
        <v>115.25953502572027</v>
      </c>
      <c r="I9" s="55">
        <f t="shared" si="2"/>
        <v>116.51198645315672</v>
      </c>
      <c r="J9" s="70">
        <f t="shared" si="3"/>
        <v>192.24477764770856</v>
      </c>
      <c r="K9" s="70">
        <f t="shared" si="3"/>
        <v>164.13863172646398</v>
      </c>
      <c r="L9" s="39"/>
      <c r="M9" s="39"/>
    </row>
    <row r="10" spans="1:13" x14ac:dyDescent="0.25">
      <c r="A10" s="77">
        <v>3</v>
      </c>
      <c r="B10" s="78">
        <f>'masse e forze direzione x'!F23</f>
        <v>1542.3937786838337</v>
      </c>
      <c r="C10" s="78">
        <f>B10/E3</f>
        <v>118.49178984201856</v>
      </c>
      <c r="D10" s="77">
        <f t="shared" si="0"/>
        <v>1.65</v>
      </c>
      <c r="E10" s="78">
        <f t="shared" si="1"/>
        <v>195.51145323933062</v>
      </c>
      <c r="F10" s="78">
        <f t="shared" ref="F10:F12" si="5">(E9+E10)/2</f>
        <v>177.85771730621053</v>
      </c>
      <c r="G10" s="80">
        <f t="shared" si="4"/>
        <v>165.50413466498193</v>
      </c>
      <c r="I10" s="55">
        <f t="shared" si="2"/>
        <v>142.19014781042227</v>
      </c>
      <c r="J10" s="70">
        <f t="shared" si="3"/>
        <v>234.61374388719673</v>
      </c>
      <c r="K10" s="70">
        <f t="shared" si="3"/>
        <v>213.42926076745263</v>
      </c>
      <c r="L10" s="39"/>
      <c r="M10" s="39"/>
    </row>
    <row r="11" spans="1:13" x14ac:dyDescent="0.25">
      <c r="A11" s="77">
        <v>2</v>
      </c>
      <c r="B11" s="78">
        <f>'masse e forze direzione x'!F24</f>
        <v>1729.9265716128052</v>
      </c>
      <c r="C11" s="78">
        <f>B11/E3</f>
        <v>132.89867905236557</v>
      </c>
      <c r="D11" s="77">
        <f t="shared" si="0"/>
        <v>1.65</v>
      </c>
      <c r="E11" s="78">
        <f t="shared" si="1"/>
        <v>219.28282043640317</v>
      </c>
      <c r="F11" s="78">
        <f t="shared" si="5"/>
        <v>207.3971368378669</v>
      </c>
      <c r="G11" s="80">
        <f t="shared" si="4"/>
        <v>202.64838995532975</v>
      </c>
      <c r="I11" s="55">
        <f t="shared" si="2"/>
        <v>159.47841486283869</v>
      </c>
      <c r="J11" s="70">
        <f t="shared" si="3"/>
        <v>263.13938452368382</v>
      </c>
      <c r="K11" s="70">
        <f t="shared" si="3"/>
        <v>248.87656420544027</v>
      </c>
      <c r="L11" s="39"/>
      <c r="M11" s="39"/>
    </row>
    <row r="12" spans="1:13" x14ac:dyDescent="0.25">
      <c r="A12" s="77">
        <v>1</v>
      </c>
      <c r="B12" s="78">
        <f>'masse e forze direzione x'!F25</f>
        <v>1809.1969500000002</v>
      </c>
      <c r="C12" s="78">
        <f>B12/E4</f>
        <v>120.34108114525142</v>
      </c>
      <c r="D12" s="77">
        <f>0.4*$B$3</f>
        <v>1.32</v>
      </c>
      <c r="E12" s="78">
        <f t="shared" si="1"/>
        <v>158.8502271117319</v>
      </c>
      <c r="F12" s="78">
        <f t="shared" si="5"/>
        <v>189.06652377406755</v>
      </c>
      <c r="G12" s="80">
        <f t="shared" si="4"/>
        <v>208.5443483309318</v>
      </c>
      <c r="I12" s="55">
        <f t="shared" si="2"/>
        <v>144.4092973743017</v>
      </c>
      <c r="J12" s="70">
        <f t="shared" si="3"/>
        <v>190.62027253407828</v>
      </c>
      <c r="K12" s="70">
        <f t="shared" si="3"/>
        <v>226.87982852888106</v>
      </c>
      <c r="L12" s="39"/>
      <c r="M12" s="39"/>
    </row>
    <row r="13" spans="1:13" x14ac:dyDescent="0.25">
      <c r="A13" s="77" t="s">
        <v>16</v>
      </c>
      <c r="B13" s="77"/>
      <c r="C13" s="81"/>
      <c r="D13" s="77">
        <f>0.6*$B$3</f>
        <v>1.9799999999999998</v>
      </c>
      <c r="E13" s="78">
        <f>C12*D13</f>
        <v>238.27534066759779</v>
      </c>
      <c r="F13" s="79"/>
      <c r="G13" s="80"/>
      <c r="I13" s="39"/>
      <c r="J13" s="70">
        <f>(E13*20/100)+E13</f>
        <v>285.93040880111732</v>
      </c>
      <c r="K13" s="39"/>
      <c r="L13" s="39"/>
      <c r="M13" s="39"/>
    </row>
    <row r="15" spans="1:13" x14ac:dyDescent="0.25">
      <c r="A15" s="73" t="s">
        <v>101</v>
      </c>
      <c r="B15" s="74" t="s">
        <v>128</v>
      </c>
      <c r="C15" s="64"/>
    </row>
    <row r="16" spans="1:13" x14ac:dyDescent="0.25">
      <c r="A16" s="64" t="s">
        <v>97</v>
      </c>
      <c r="B16" s="64" t="s">
        <v>66</v>
      </c>
      <c r="C16" s="64"/>
      <c r="G16" s="16"/>
    </row>
    <row r="17" spans="1:14" x14ac:dyDescent="0.25">
      <c r="A17" s="64" t="s">
        <v>63</v>
      </c>
      <c r="B17" s="64" t="s">
        <v>64</v>
      </c>
      <c r="C17" s="71">
        <f>(('carichi unitari'!C20)*(5.6321*5.6321))/10</f>
        <v>170.82638668858507</v>
      </c>
    </row>
    <row r="18" spans="1:14" x14ac:dyDescent="0.25">
      <c r="A18" s="64" t="s">
        <v>65</v>
      </c>
      <c r="B18" s="64"/>
      <c r="C18" s="71">
        <f>K26</f>
        <v>226.87982852888106</v>
      </c>
      <c r="G18" s="39"/>
      <c r="H18" s="39"/>
      <c r="I18" s="39"/>
      <c r="J18" s="38" t="s">
        <v>95</v>
      </c>
      <c r="K18" s="38"/>
      <c r="L18" s="38"/>
      <c r="M18" s="38"/>
      <c r="N18" s="1"/>
    </row>
    <row r="19" spans="1:14" x14ac:dyDescent="0.25">
      <c r="A19" s="64" t="s">
        <v>98</v>
      </c>
      <c r="B19" s="64"/>
      <c r="C19" s="71">
        <f>SUM(C17:C18)</f>
        <v>397.70621521746614</v>
      </c>
      <c r="G19" s="39"/>
      <c r="H19" s="39"/>
      <c r="I19" s="39"/>
      <c r="J19" s="39"/>
      <c r="K19" s="39"/>
      <c r="L19" s="39"/>
      <c r="M19" s="39"/>
    </row>
    <row r="20" spans="1:14" x14ac:dyDescent="0.25">
      <c r="A20" s="64"/>
      <c r="B20" s="64"/>
      <c r="C20" s="64"/>
      <c r="G20" s="39"/>
      <c r="H20" s="39"/>
      <c r="I20" s="38" t="s">
        <v>32</v>
      </c>
      <c r="J20" s="38" t="s">
        <v>33</v>
      </c>
      <c r="K20" s="38" t="s">
        <v>35</v>
      </c>
      <c r="L20" s="39"/>
      <c r="M20" s="39"/>
    </row>
    <row r="21" spans="1:14" x14ac:dyDescent="0.25">
      <c r="A21" s="64" t="s">
        <v>67</v>
      </c>
      <c r="B21" s="64"/>
      <c r="C21" s="64"/>
      <c r="G21" s="39"/>
      <c r="H21" s="39"/>
      <c r="I21" s="55">
        <f t="shared" ref="I21:I26" si="6">I7</f>
        <v>37.320009473699983</v>
      </c>
      <c r="J21" s="70">
        <f>J7*1.5</f>
        <v>92.367023447407448</v>
      </c>
      <c r="K21" s="70">
        <f t="shared" ref="K21:K26" si="7">K7</f>
        <v>30.789007815802481</v>
      </c>
      <c r="L21" s="39"/>
      <c r="M21" s="39"/>
    </row>
    <row r="22" spans="1:14" x14ac:dyDescent="0.25">
      <c r="A22" s="64" t="s">
        <v>68</v>
      </c>
      <c r="B22" s="62">
        <v>0.3</v>
      </c>
      <c r="C22" s="64" t="s">
        <v>99</v>
      </c>
      <c r="G22" s="39"/>
      <c r="H22" s="39"/>
      <c r="I22" s="55">
        <f t="shared" si="6"/>
        <v>82.443930791042064</v>
      </c>
      <c r="J22" s="70">
        <f t="shared" ref="J22:J26" si="8">J8*1.5</f>
        <v>204.04872870782913</v>
      </c>
      <c r="K22" s="70">
        <f t="shared" si="7"/>
        <v>98.805250718412168</v>
      </c>
      <c r="L22" s="39"/>
      <c r="M22" s="39"/>
    </row>
    <row r="23" spans="1:14" x14ac:dyDescent="0.25">
      <c r="A23" s="64" t="s">
        <v>69</v>
      </c>
      <c r="B23" s="62" t="s">
        <v>70</v>
      </c>
      <c r="C23" s="64"/>
      <c r="G23" s="39"/>
      <c r="H23" s="39"/>
      <c r="I23" s="55">
        <f t="shared" si="6"/>
        <v>116.51198645315672</v>
      </c>
      <c r="J23" s="70">
        <f t="shared" si="8"/>
        <v>288.36716647156283</v>
      </c>
      <c r="K23" s="70">
        <f t="shared" si="7"/>
        <v>164.13863172646398</v>
      </c>
      <c r="L23" s="39"/>
      <c r="M23" s="39"/>
    </row>
    <row r="24" spans="1:14" x14ac:dyDescent="0.25">
      <c r="A24" s="64" t="s">
        <v>71</v>
      </c>
      <c r="B24" s="62">
        <v>0.04</v>
      </c>
      <c r="C24" s="64" t="s">
        <v>99</v>
      </c>
      <c r="G24" s="39"/>
      <c r="H24" s="39"/>
      <c r="I24" s="55">
        <f t="shared" si="6"/>
        <v>142.19014781042227</v>
      </c>
      <c r="J24" s="70">
        <f t="shared" si="8"/>
        <v>351.9206158307951</v>
      </c>
      <c r="K24" s="70">
        <f t="shared" si="7"/>
        <v>213.42926076745263</v>
      </c>
      <c r="L24" s="39"/>
      <c r="M24" s="39"/>
    </row>
    <row r="25" spans="1:14" x14ac:dyDescent="0.25">
      <c r="A25" s="64" t="s">
        <v>72</v>
      </c>
      <c r="B25" s="63">
        <f>C19</f>
        <v>397.70621521746614</v>
      </c>
      <c r="C25" s="64"/>
      <c r="G25" s="39"/>
      <c r="H25" s="39"/>
      <c r="I25" s="55">
        <f t="shared" si="6"/>
        <v>159.47841486283869</v>
      </c>
      <c r="J25" s="70">
        <f t="shared" si="8"/>
        <v>394.70907678552572</v>
      </c>
      <c r="K25" s="70">
        <f t="shared" si="7"/>
        <v>248.87656420544027</v>
      </c>
      <c r="L25" s="39"/>
      <c r="M25" s="39"/>
    </row>
    <row r="26" spans="1:14" x14ac:dyDescent="0.25">
      <c r="A26" s="64" t="s">
        <v>73</v>
      </c>
      <c r="B26" s="62">
        <v>25</v>
      </c>
      <c r="C26" s="64"/>
      <c r="G26" s="39"/>
      <c r="H26" s="39"/>
      <c r="I26" s="55">
        <f t="shared" si="6"/>
        <v>144.4092973743017</v>
      </c>
      <c r="J26" s="70">
        <f t="shared" si="8"/>
        <v>285.93040880111744</v>
      </c>
      <c r="K26" s="70">
        <f t="shared" si="7"/>
        <v>226.87982852888106</v>
      </c>
      <c r="L26" s="39"/>
      <c r="M26" s="39"/>
    </row>
    <row r="27" spans="1:14" x14ac:dyDescent="0.25">
      <c r="A27" s="64" t="s">
        <v>74</v>
      </c>
      <c r="B27" s="62">
        <v>1.7000000000000001E-2</v>
      </c>
      <c r="C27" s="64"/>
      <c r="G27" s="39"/>
      <c r="H27" s="39"/>
      <c r="I27" s="39"/>
      <c r="J27" s="70">
        <f>J13</f>
        <v>285.93040880111732</v>
      </c>
      <c r="K27" s="39"/>
      <c r="L27" s="39"/>
      <c r="M27" s="39"/>
    </row>
    <row r="28" spans="1:14" x14ac:dyDescent="0.25">
      <c r="A28" s="64"/>
      <c r="B28" s="62"/>
      <c r="C28" s="64" t="s">
        <v>76</v>
      </c>
    </row>
    <row r="29" spans="1:14" x14ac:dyDescent="0.25">
      <c r="A29" s="64" t="s">
        <v>69</v>
      </c>
      <c r="B29" s="75">
        <f>B27*SQRT(B25/B22)</f>
        <v>0.61896983286168783</v>
      </c>
      <c r="C29" s="64"/>
      <c r="D29" s="15" t="s">
        <v>75</v>
      </c>
      <c r="E29" s="15"/>
      <c r="F29" s="15"/>
      <c r="G29" s="15" t="s">
        <v>245</v>
      </c>
      <c r="I29" t="s">
        <v>249</v>
      </c>
    </row>
    <row r="32" spans="1:14" x14ac:dyDescent="0.25">
      <c r="A32" s="15" t="s">
        <v>102</v>
      </c>
      <c r="B32" s="15"/>
    </row>
    <row r="33" spans="1:8" x14ac:dyDescent="0.25">
      <c r="B33" s="17"/>
    </row>
    <row r="34" spans="1:8" x14ac:dyDescent="0.25">
      <c r="A34" s="77" t="s">
        <v>0</v>
      </c>
      <c r="B34" s="78" t="s">
        <v>94</v>
      </c>
      <c r="C34" s="77" t="s">
        <v>106</v>
      </c>
      <c r="D34" s="77" t="s">
        <v>103</v>
      </c>
      <c r="E34" s="77" t="s">
        <v>104</v>
      </c>
      <c r="F34" s="77" t="s">
        <v>107</v>
      </c>
      <c r="G34" s="77" t="s">
        <v>108</v>
      </c>
      <c r="H34" s="1"/>
    </row>
    <row r="35" spans="1:8" x14ac:dyDescent="0.25">
      <c r="A35" s="77">
        <v>6</v>
      </c>
      <c r="B35" s="78">
        <f>J21</f>
        <v>92.367023447407448</v>
      </c>
      <c r="C35" s="78">
        <f>G7</f>
        <v>13.49613724326376</v>
      </c>
      <c r="D35" s="78">
        <f>'carichi unitari'!D73</f>
        <v>317.46439829430005</v>
      </c>
      <c r="E35" s="82">
        <f>'carichi unitari'!E73</f>
        <v>125.87298625000003</v>
      </c>
      <c r="F35" s="78">
        <f>D35+C35</f>
        <v>330.96053553756383</v>
      </c>
      <c r="G35" s="82">
        <f>E35-C35</f>
        <v>112.37684900673626</v>
      </c>
    </row>
    <row r="36" spans="1:8" x14ac:dyDescent="0.25">
      <c r="A36" s="77">
        <v>5</v>
      </c>
      <c r="B36" s="78">
        <f t="shared" ref="B36:B40" si="9">J22</f>
        <v>204.04872870782913</v>
      </c>
      <c r="C36" s="78">
        <f t="shared" ref="C36:C40" si="10">G8</f>
        <v>56.806698987522417</v>
      </c>
      <c r="D36" s="78">
        <f>'carichi unitari'!D74</f>
        <v>634.92879658860011</v>
      </c>
      <c r="E36" s="82">
        <f>'carichi unitari'!E74</f>
        <v>251.74597250000005</v>
      </c>
      <c r="F36" s="78">
        <f t="shared" ref="F36:F40" si="11">D36+C36</f>
        <v>691.7354955761225</v>
      </c>
      <c r="G36" s="82">
        <f t="shared" ref="G36:G40" si="12">E36-C36</f>
        <v>194.93927351247763</v>
      </c>
    </row>
    <row r="37" spans="1:8" x14ac:dyDescent="0.25">
      <c r="A37" s="77">
        <v>4</v>
      </c>
      <c r="B37" s="78">
        <f t="shared" si="9"/>
        <v>288.36716647156283</v>
      </c>
      <c r="C37" s="78">
        <f t="shared" si="10"/>
        <v>115.25953502572027</v>
      </c>
      <c r="D37" s="78">
        <f>'carichi unitari'!D75</f>
        <v>952.39319488290016</v>
      </c>
      <c r="E37" s="82">
        <f>'carichi unitari'!E75</f>
        <v>377.61895875000005</v>
      </c>
      <c r="F37" s="78">
        <f t="shared" si="11"/>
        <v>1067.6527299086204</v>
      </c>
      <c r="G37" s="82">
        <f t="shared" si="12"/>
        <v>262.35942372427979</v>
      </c>
    </row>
    <row r="38" spans="1:8" x14ac:dyDescent="0.25">
      <c r="A38" s="77">
        <v>3</v>
      </c>
      <c r="B38" s="78">
        <f t="shared" si="9"/>
        <v>351.9206158307951</v>
      </c>
      <c r="C38" s="78">
        <f t="shared" si="10"/>
        <v>165.50413466498193</v>
      </c>
      <c r="D38" s="78">
        <f>'carichi unitari'!D76</f>
        <v>1269.8575931772002</v>
      </c>
      <c r="E38" s="82">
        <f>'carichi unitari'!E76</f>
        <v>503.4919450000001</v>
      </c>
      <c r="F38" s="78">
        <f t="shared" si="11"/>
        <v>1435.3617278421821</v>
      </c>
      <c r="G38" s="82">
        <f t="shared" si="12"/>
        <v>337.98781033501814</v>
      </c>
    </row>
    <row r="39" spans="1:8" x14ac:dyDescent="0.25">
      <c r="A39" s="77">
        <v>2</v>
      </c>
      <c r="B39" s="78">
        <f t="shared" si="9"/>
        <v>394.70907678552572</v>
      </c>
      <c r="C39" s="78">
        <f t="shared" si="10"/>
        <v>202.64838995532975</v>
      </c>
      <c r="D39" s="78">
        <f>'carichi unitari'!D77</f>
        <v>1587.3219914715003</v>
      </c>
      <c r="E39" s="82">
        <f>'carichi unitari'!E77</f>
        <v>629.36493125000015</v>
      </c>
      <c r="F39" s="78">
        <f t="shared" si="11"/>
        <v>1789.97038142683</v>
      </c>
      <c r="G39" s="82">
        <f t="shared" si="12"/>
        <v>426.71654129467038</v>
      </c>
    </row>
    <row r="40" spans="1:8" x14ac:dyDescent="0.25">
      <c r="A40" s="77">
        <v>1</v>
      </c>
      <c r="B40" s="78">
        <f t="shared" si="9"/>
        <v>285.93040880111744</v>
      </c>
      <c r="C40" s="78">
        <f t="shared" si="10"/>
        <v>208.5443483309318</v>
      </c>
      <c r="D40" s="78">
        <f>'carichi unitari'!D78</f>
        <v>1904.7863897658003</v>
      </c>
      <c r="E40" s="82">
        <f>'carichi unitari'!E78</f>
        <v>755.23791750000009</v>
      </c>
      <c r="F40" s="78">
        <f t="shared" si="11"/>
        <v>2113.3307380967321</v>
      </c>
      <c r="G40" s="82">
        <f t="shared" si="12"/>
        <v>546.69356916906827</v>
      </c>
    </row>
    <row r="41" spans="1:8" x14ac:dyDescent="0.25">
      <c r="A41" s="81"/>
      <c r="B41" s="78">
        <f>J27</f>
        <v>285.93040880111732</v>
      </c>
      <c r="C41" s="81"/>
      <c r="D41" s="81"/>
      <c r="E41" s="81"/>
      <c r="F41" s="81"/>
      <c r="G41" s="81"/>
    </row>
    <row r="42" spans="1:8" x14ac:dyDescent="0.25">
      <c r="A42" s="15" t="s">
        <v>180</v>
      </c>
    </row>
    <row r="43" spans="1:8" x14ac:dyDescent="0.25">
      <c r="A43" s="64" t="s">
        <v>109</v>
      </c>
      <c r="B43" s="71">
        <f>J27</f>
        <v>285.93040880111732</v>
      </c>
    </row>
    <row r="44" spans="1:8" x14ac:dyDescent="0.25">
      <c r="A44" s="64" t="s">
        <v>110</v>
      </c>
      <c r="B44" s="71">
        <f>F40</f>
        <v>2113.3307380967321</v>
      </c>
      <c r="D44" s="33" t="s">
        <v>112</v>
      </c>
      <c r="E44" t="s">
        <v>113</v>
      </c>
    </row>
    <row r="45" spans="1:8" x14ac:dyDescent="0.25">
      <c r="A45" s="64" t="s">
        <v>111</v>
      </c>
      <c r="B45" s="76">
        <f>G40</f>
        <v>546.69356916906827</v>
      </c>
      <c r="C45" s="32" t="s">
        <v>151</v>
      </c>
      <c r="D45" s="49">
        <f>J25</f>
        <v>394.70907678552572</v>
      </c>
    </row>
    <row r="46" spans="1:8" x14ac:dyDescent="0.25">
      <c r="A46" s="64"/>
      <c r="B46" s="64"/>
    </row>
    <row r="47" spans="1:8" x14ac:dyDescent="0.25">
      <c r="A47" s="41" t="s">
        <v>298</v>
      </c>
      <c r="B47" s="42"/>
      <c r="C47" s="43"/>
    </row>
    <row r="51" spans="9:12" x14ac:dyDescent="0.25">
      <c r="I51" s="73" t="s">
        <v>101</v>
      </c>
      <c r="J51" s="74" t="s">
        <v>129</v>
      </c>
      <c r="K51" s="64"/>
      <c r="L51" s="7"/>
    </row>
    <row r="52" spans="9:12" x14ac:dyDescent="0.25">
      <c r="I52" s="64" t="s">
        <v>97</v>
      </c>
      <c r="J52" s="64" t="s">
        <v>66</v>
      </c>
      <c r="K52" s="64"/>
      <c r="L52" s="7"/>
    </row>
    <row r="53" spans="9:12" x14ac:dyDescent="0.25">
      <c r="I53" s="64" t="s">
        <v>63</v>
      </c>
      <c r="J53" s="64" t="s">
        <v>64</v>
      </c>
      <c r="K53" s="63">
        <f>(('carichi unitari'!C43)*(3.8022*3.8022))/10</f>
        <v>75.810161515657498</v>
      </c>
      <c r="L53" s="7"/>
    </row>
    <row r="54" spans="9:12" x14ac:dyDescent="0.25">
      <c r="I54" s="64" t="s">
        <v>65</v>
      </c>
      <c r="J54" s="64"/>
      <c r="K54" s="63">
        <f>K12</f>
        <v>226.87982852888106</v>
      </c>
      <c r="L54" s="7"/>
    </row>
    <row r="55" spans="9:12" x14ac:dyDescent="0.25">
      <c r="I55" s="64" t="s">
        <v>98</v>
      </c>
      <c r="J55" s="64"/>
      <c r="K55" s="63">
        <f>SUM(K53:K54)</f>
        <v>302.68999004453855</v>
      </c>
      <c r="L55" s="7"/>
    </row>
    <row r="56" spans="9:12" x14ac:dyDescent="0.25">
      <c r="I56" s="64"/>
      <c r="J56" s="64"/>
      <c r="K56" s="64"/>
      <c r="L56" s="7"/>
    </row>
    <row r="57" spans="9:12" x14ac:dyDescent="0.25">
      <c r="I57" s="64" t="s">
        <v>67</v>
      </c>
      <c r="J57" s="64"/>
      <c r="K57" s="64"/>
      <c r="L57" s="7"/>
    </row>
    <row r="58" spans="9:12" x14ac:dyDescent="0.25">
      <c r="I58" s="64" t="s">
        <v>68</v>
      </c>
      <c r="J58" s="64">
        <v>0.28000000000000003</v>
      </c>
      <c r="K58" s="64" t="s">
        <v>99</v>
      </c>
      <c r="L58" s="7"/>
    </row>
    <row r="59" spans="9:12" x14ac:dyDescent="0.25">
      <c r="I59" s="64" t="s">
        <v>69</v>
      </c>
      <c r="J59" s="62" t="s">
        <v>70</v>
      </c>
      <c r="K59" s="64"/>
      <c r="L59" s="7"/>
    </row>
    <row r="60" spans="9:12" x14ac:dyDescent="0.25">
      <c r="I60" s="64" t="s">
        <v>71</v>
      </c>
      <c r="J60" s="64">
        <v>0.04</v>
      </c>
      <c r="K60" s="64" t="s">
        <v>99</v>
      </c>
      <c r="L60" s="7"/>
    </row>
    <row r="61" spans="9:12" x14ac:dyDescent="0.25">
      <c r="I61" s="64" t="s">
        <v>72</v>
      </c>
      <c r="J61" s="71">
        <f>K55</f>
        <v>302.68999004453855</v>
      </c>
      <c r="K61" s="64"/>
      <c r="L61" s="7"/>
    </row>
    <row r="62" spans="9:12" x14ac:dyDescent="0.25">
      <c r="I62" s="64" t="s">
        <v>73</v>
      </c>
      <c r="J62" s="64">
        <v>25</v>
      </c>
      <c r="K62" s="64"/>
      <c r="L62" s="7"/>
    </row>
    <row r="63" spans="9:12" x14ac:dyDescent="0.25">
      <c r="I63" s="64" t="s">
        <v>74</v>
      </c>
      <c r="J63" s="64">
        <v>1.7999999999999999E-2</v>
      </c>
      <c r="K63" s="64"/>
      <c r="L63" s="7"/>
    </row>
    <row r="64" spans="9:12" x14ac:dyDescent="0.25">
      <c r="I64" s="64"/>
      <c r="J64" s="64"/>
      <c r="K64" s="64" t="s">
        <v>76</v>
      </c>
      <c r="L64" s="7"/>
    </row>
    <row r="65" spans="9:14" x14ac:dyDescent="0.25">
      <c r="I65" s="64" t="s">
        <v>69</v>
      </c>
      <c r="J65" s="72">
        <f>J63*SQRT(J61/J58)</f>
        <v>0.59182392644153903</v>
      </c>
      <c r="K65" s="64"/>
      <c r="L65" s="7"/>
      <c r="M65" s="15" t="s">
        <v>152</v>
      </c>
      <c r="N65" s="15"/>
    </row>
  </sheetData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opLeftCell="A28" zoomScale="76" zoomScaleNormal="76" workbookViewId="0">
      <selection activeCell="B14" sqref="B14"/>
    </sheetView>
  </sheetViews>
  <sheetFormatPr defaultRowHeight="15" x14ac:dyDescent="0.25"/>
  <cols>
    <col min="1" max="1" width="14" customWidth="1"/>
    <col min="2" max="2" width="17.28515625" customWidth="1"/>
    <col min="3" max="3" width="20.42578125" customWidth="1"/>
    <col min="4" max="4" width="19" customWidth="1"/>
    <col min="5" max="5" width="13.42578125" customWidth="1"/>
  </cols>
  <sheetData>
    <row r="1" spans="1:5" x14ac:dyDescent="0.25">
      <c r="A1" s="62" t="s">
        <v>0</v>
      </c>
      <c r="B1" s="2" t="s">
        <v>189</v>
      </c>
      <c r="C1" s="2" t="s">
        <v>192</v>
      </c>
      <c r="D1" s="2" t="s">
        <v>191</v>
      </c>
      <c r="E1" s="2" t="s">
        <v>1</v>
      </c>
    </row>
    <row r="2" spans="1:5" x14ac:dyDescent="0.25">
      <c r="A2" s="62" t="s">
        <v>2</v>
      </c>
      <c r="B2" s="62">
        <v>502.5</v>
      </c>
      <c r="C2" s="62">
        <v>9</v>
      </c>
      <c r="D2" s="62">
        <f>B2*C2</f>
        <v>4522.5</v>
      </c>
      <c r="E2" s="63">
        <f>D2/9.81</f>
        <v>461.00917431192659</v>
      </c>
    </row>
    <row r="3" spans="1:5" x14ac:dyDescent="0.25">
      <c r="A3" s="62">
        <v>5</v>
      </c>
      <c r="B3" s="62">
        <v>575.1</v>
      </c>
      <c r="C3" s="62">
        <v>10</v>
      </c>
      <c r="D3" s="63">
        <f t="shared" ref="D3:D7" si="0">B3*C3</f>
        <v>5751</v>
      </c>
      <c r="E3" s="63">
        <f t="shared" ref="E3:E8" si="1">D3/9.81</f>
        <v>586.23853211009168</v>
      </c>
    </row>
    <row r="4" spans="1:5" x14ac:dyDescent="0.25">
      <c r="A4" s="62">
        <v>4</v>
      </c>
      <c r="B4" s="62">
        <v>575.1</v>
      </c>
      <c r="C4" s="62">
        <v>10</v>
      </c>
      <c r="D4" s="63">
        <f t="shared" si="0"/>
        <v>5751</v>
      </c>
      <c r="E4" s="63">
        <f t="shared" si="1"/>
        <v>586.23853211009168</v>
      </c>
    </row>
    <row r="5" spans="1:5" x14ac:dyDescent="0.25">
      <c r="A5" s="62">
        <v>3</v>
      </c>
      <c r="B5" s="62">
        <v>575.1</v>
      </c>
      <c r="C5" s="62">
        <v>10</v>
      </c>
      <c r="D5" s="63">
        <f t="shared" si="0"/>
        <v>5751</v>
      </c>
      <c r="E5" s="63">
        <f t="shared" si="1"/>
        <v>586.23853211009168</v>
      </c>
    </row>
    <row r="6" spans="1:5" x14ac:dyDescent="0.25">
      <c r="A6" s="62">
        <v>2</v>
      </c>
      <c r="B6" s="62">
        <v>575.1</v>
      </c>
      <c r="C6" s="62">
        <v>10</v>
      </c>
      <c r="D6" s="63">
        <f t="shared" si="0"/>
        <v>5751</v>
      </c>
      <c r="E6" s="63">
        <f t="shared" si="1"/>
        <v>586.23853211009168</v>
      </c>
    </row>
    <row r="7" spans="1:5" x14ac:dyDescent="0.25">
      <c r="A7" s="62">
        <v>1</v>
      </c>
      <c r="B7" s="62">
        <v>472.3</v>
      </c>
      <c r="C7" s="62">
        <v>10</v>
      </c>
      <c r="D7" s="63">
        <f t="shared" si="0"/>
        <v>4723</v>
      </c>
      <c r="E7" s="63">
        <f t="shared" si="1"/>
        <v>481.44750254841995</v>
      </c>
    </row>
    <row r="8" spans="1:5" x14ac:dyDescent="0.25">
      <c r="A8" s="62" t="s">
        <v>3</v>
      </c>
      <c r="B8" s="64"/>
      <c r="C8" s="64"/>
      <c r="D8" s="63">
        <f>SUM(D2:D7)</f>
        <v>32249.5</v>
      </c>
      <c r="E8" s="63">
        <f t="shared" si="1"/>
        <v>3287.4108053007135</v>
      </c>
    </row>
    <row r="11" spans="1:5" x14ac:dyDescent="0.25">
      <c r="A11" s="2" t="s">
        <v>4</v>
      </c>
      <c r="B11" s="2">
        <v>7.4999999999999997E-2</v>
      </c>
    </row>
    <row r="12" spans="1:5" x14ac:dyDescent="0.25">
      <c r="A12" s="2" t="s">
        <v>5</v>
      </c>
      <c r="B12" s="2">
        <v>20</v>
      </c>
    </row>
    <row r="13" spans="1:5" x14ac:dyDescent="0.25">
      <c r="A13" s="2" t="s">
        <v>6</v>
      </c>
      <c r="B13" s="3">
        <v>0.74199999999999999</v>
      </c>
    </row>
    <row r="14" spans="1:5" x14ac:dyDescent="0.25">
      <c r="A14" s="2" t="s">
        <v>7</v>
      </c>
      <c r="B14" s="3">
        <v>0.08</v>
      </c>
      <c r="C14" t="s">
        <v>92</v>
      </c>
    </row>
    <row r="15" spans="1:5" x14ac:dyDescent="0.25">
      <c r="A15" s="2" t="s">
        <v>8</v>
      </c>
      <c r="B15" s="4">
        <f>0.85*D8*B14</f>
        <v>2192.9659999999999</v>
      </c>
    </row>
    <row r="16" spans="1:5" x14ac:dyDescent="0.25">
      <c r="A16" s="1"/>
    </row>
    <row r="19" spans="1:6" x14ac:dyDescent="0.25">
      <c r="A19" s="65" t="s">
        <v>0</v>
      </c>
      <c r="B19" s="65" t="s">
        <v>193</v>
      </c>
      <c r="C19" s="65" t="s">
        <v>190</v>
      </c>
      <c r="D19" s="65" t="s">
        <v>194</v>
      </c>
      <c r="E19" s="65" t="s">
        <v>215</v>
      </c>
      <c r="F19" s="65" t="s">
        <v>196</v>
      </c>
    </row>
    <row r="20" spans="1:6" x14ac:dyDescent="0.25">
      <c r="A20" s="65" t="s">
        <v>10</v>
      </c>
      <c r="B20" s="65">
        <f t="shared" ref="B20:B25" si="2">D2</f>
        <v>4522.5</v>
      </c>
      <c r="C20" s="65">
        <f>C21+3.3</f>
        <v>20</v>
      </c>
      <c r="D20" s="66">
        <f>B20*C20</f>
        <v>90450</v>
      </c>
      <c r="E20" s="67">
        <f>D20/$D$26*$B$15</f>
        <v>525.75034212217804</v>
      </c>
      <c r="F20" s="68">
        <f>E20</f>
        <v>525.75034212217804</v>
      </c>
    </row>
    <row r="21" spans="1:6" x14ac:dyDescent="0.25">
      <c r="A21" s="65">
        <v>5</v>
      </c>
      <c r="B21" s="68">
        <f t="shared" si="2"/>
        <v>5751</v>
      </c>
      <c r="C21" s="65">
        <f>C22+3.3</f>
        <v>16.7</v>
      </c>
      <c r="D21" s="66">
        <f t="shared" ref="D21:D25" si="3">B21*C21</f>
        <v>96041.7</v>
      </c>
      <c r="E21" s="68">
        <f t="shared" ref="E21:E25" si="4">D21/$D$26*$B$15</f>
        <v>558.25269909337294</v>
      </c>
      <c r="F21" s="68">
        <f>F20+E21</f>
        <v>1084.0030412155511</v>
      </c>
    </row>
    <row r="22" spans="1:6" x14ac:dyDescent="0.25">
      <c r="A22" s="65">
        <v>4</v>
      </c>
      <c r="B22" s="68">
        <f t="shared" si="2"/>
        <v>5751</v>
      </c>
      <c r="C22" s="65">
        <f>C23+3.3</f>
        <v>13.399999999999999</v>
      </c>
      <c r="D22" s="66">
        <f t="shared" si="3"/>
        <v>77063.399999999994</v>
      </c>
      <c r="E22" s="68">
        <f t="shared" si="4"/>
        <v>447.93929148809565</v>
      </c>
      <c r="F22" s="68">
        <f>F21+E22</f>
        <v>1531.9423327036468</v>
      </c>
    </row>
    <row r="23" spans="1:6" x14ac:dyDescent="0.25">
      <c r="A23" s="65">
        <v>3</v>
      </c>
      <c r="B23" s="68">
        <f t="shared" si="2"/>
        <v>5751</v>
      </c>
      <c r="C23" s="65">
        <f>C24+3.3</f>
        <v>10.1</v>
      </c>
      <c r="D23" s="66">
        <f t="shared" si="3"/>
        <v>58085.1</v>
      </c>
      <c r="E23" s="68">
        <f t="shared" si="4"/>
        <v>337.62588388281836</v>
      </c>
      <c r="F23" s="68">
        <f>F22+E23</f>
        <v>1869.568216586465</v>
      </c>
    </row>
    <row r="24" spans="1:6" x14ac:dyDescent="0.25">
      <c r="A24" s="65">
        <v>2</v>
      </c>
      <c r="B24" s="68">
        <f t="shared" si="2"/>
        <v>5751</v>
      </c>
      <c r="C24" s="65">
        <f>C25+3.3</f>
        <v>6.8</v>
      </c>
      <c r="D24" s="66">
        <f t="shared" si="3"/>
        <v>39106.799999999996</v>
      </c>
      <c r="E24" s="68">
        <f t="shared" si="4"/>
        <v>227.31247627754107</v>
      </c>
      <c r="F24" s="68">
        <f>F23+E24</f>
        <v>2096.8806928640061</v>
      </c>
    </row>
    <row r="25" spans="1:6" x14ac:dyDescent="0.25">
      <c r="A25" s="65">
        <v>1</v>
      </c>
      <c r="B25" s="68">
        <f t="shared" si="2"/>
        <v>4723</v>
      </c>
      <c r="C25" s="65">
        <v>3.5</v>
      </c>
      <c r="D25" s="66">
        <f t="shared" si="3"/>
        <v>16530.5</v>
      </c>
      <c r="E25" s="68">
        <f t="shared" si="4"/>
        <v>96.085307135994071</v>
      </c>
      <c r="F25" s="68">
        <f>F24+E25</f>
        <v>2192.9660000000003</v>
      </c>
    </row>
    <row r="26" spans="1:6" x14ac:dyDescent="0.25">
      <c r="A26" s="65" t="s">
        <v>11</v>
      </c>
      <c r="B26" s="69"/>
      <c r="C26" s="69"/>
      <c r="D26" s="66">
        <f>SUM(D20:D25)</f>
        <v>377277.49999999994</v>
      </c>
      <c r="E26" s="69"/>
      <c r="F26" s="69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"/>
  <sheetViews>
    <sheetView topLeftCell="A34" zoomScale="55" zoomScaleNormal="55" workbookViewId="0">
      <selection activeCell="M46" sqref="M46"/>
    </sheetView>
  </sheetViews>
  <sheetFormatPr defaultRowHeight="15" x14ac:dyDescent="0.25"/>
  <cols>
    <col min="1" max="1" width="20.28515625" customWidth="1"/>
    <col min="2" max="2" width="11.5703125" customWidth="1"/>
    <col min="3" max="3" width="16.140625" customWidth="1"/>
    <col min="4" max="4" width="18.7109375" customWidth="1"/>
    <col min="5" max="5" width="13.5703125" customWidth="1"/>
    <col min="6" max="6" width="15.140625" customWidth="1"/>
    <col min="7" max="7" width="11.85546875" customWidth="1"/>
    <col min="8" max="8" width="5.5703125" customWidth="1"/>
    <col min="9" max="9" width="15.28515625" customWidth="1"/>
    <col min="10" max="10" width="15.85546875" customWidth="1"/>
    <col min="11" max="11" width="11.28515625" customWidth="1"/>
    <col min="12" max="12" width="10.7109375" customWidth="1"/>
    <col min="14" max="14" width="12.28515625" customWidth="1"/>
    <col min="15" max="15" width="14.7109375" customWidth="1"/>
  </cols>
  <sheetData>
    <row r="1" spans="1:12" x14ac:dyDescent="0.25">
      <c r="A1" s="38" t="s">
        <v>12</v>
      </c>
      <c r="B1" s="38">
        <v>13</v>
      </c>
      <c r="C1" s="7"/>
      <c r="D1" s="52" t="s">
        <v>143</v>
      </c>
      <c r="E1" s="52" t="s">
        <v>155</v>
      </c>
      <c r="F1" s="9"/>
    </row>
    <row r="2" spans="1:12" x14ac:dyDescent="0.25">
      <c r="A2" s="38" t="s">
        <v>13</v>
      </c>
      <c r="B2" s="39"/>
      <c r="D2" s="8">
        <v>6</v>
      </c>
      <c r="E2" s="10">
        <f>rigidezze!D80</f>
        <v>16.429249480866211</v>
      </c>
      <c r="F2" s="9"/>
    </row>
    <row r="3" spans="1:12" x14ac:dyDescent="0.25">
      <c r="A3" s="38" t="s">
        <v>14</v>
      </c>
      <c r="B3" s="38">
        <v>3.3</v>
      </c>
      <c r="D3" s="8" t="s">
        <v>156</v>
      </c>
      <c r="E3" s="10">
        <f>rigidezze!D81</f>
        <v>15.815479115479116</v>
      </c>
      <c r="F3" s="9"/>
    </row>
    <row r="4" spans="1:12" x14ac:dyDescent="0.25">
      <c r="A4" s="38" t="s">
        <v>100</v>
      </c>
      <c r="B4" s="55">
        <v>3.8022</v>
      </c>
      <c r="D4" s="8">
        <v>1</v>
      </c>
      <c r="E4" s="21">
        <f>rigidezze!D82</f>
        <v>14.970611285266456</v>
      </c>
      <c r="F4" s="9"/>
    </row>
    <row r="5" spans="1:12" x14ac:dyDescent="0.25">
      <c r="I5" s="39"/>
      <c r="J5" s="39" t="s">
        <v>34</v>
      </c>
      <c r="K5" s="39"/>
      <c r="L5" s="39"/>
    </row>
    <row r="6" spans="1:12" x14ac:dyDescent="0.25">
      <c r="A6" s="77" t="s">
        <v>15</v>
      </c>
      <c r="B6" s="77" t="s">
        <v>196</v>
      </c>
      <c r="C6" s="77" t="s">
        <v>197</v>
      </c>
      <c r="D6" s="77" t="s">
        <v>198</v>
      </c>
      <c r="E6" s="77" t="s">
        <v>199</v>
      </c>
      <c r="F6" s="77" t="s">
        <v>200</v>
      </c>
      <c r="G6" s="77" t="s">
        <v>201</v>
      </c>
      <c r="I6" s="39" t="s">
        <v>32</v>
      </c>
      <c r="J6" s="38" t="s">
        <v>33</v>
      </c>
      <c r="K6" s="39" t="s">
        <v>35</v>
      </c>
      <c r="L6" s="39"/>
    </row>
    <row r="7" spans="1:12" x14ac:dyDescent="0.25">
      <c r="A7" s="77">
        <v>6</v>
      </c>
      <c r="B7" s="78">
        <f>'masse e forze direzione y'!F20</f>
        <v>525.75034212217804</v>
      </c>
      <c r="C7" s="78">
        <f>B7/E2</f>
        <v>32.000873973852308</v>
      </c>
      <c r="D7" s="77">
        <f>0.5*$B$3</f>
        <v>1.65</v>
      </c>
      <c r="E7" s="78">
        <f>C7*D7</f>
        <v>52.801442056856303</v>
      </c>
      <c r="F7" s="78">
        <f>E7/2</f>
        <v>26.400721028428151</v>
      </c>
      <c r="G7" s="79">
        <f>2*(F7/$B$4)</f>
        <v>13.887076444389118</v>
      </c>
      <c r="I7" s="55">
        <f>(C7*20/100)+C7</f>
        <v>38.401048768622772</v>
      </c>
      <c r="J7" s="70">
        <f>(E7*20/100)+E7</f>
        <v>63.361730468227563</v>
      </c>
      <c r="K7" s="70">
        <f>(F7*20/100)+F7</f>
        <v>31.680865234113782</v>
      </c>
      <c r="L7" s="39"/>
    </row>
    <row r="8" spans="1:12" x14ac:dyDescent="0.25">
      <c r="A8" s="77">
        <v>5</v>
      </c>
      <c r="B8" s="78">
        <f>'masse e forze direzione y'!F21</f>
        <v>1084.0030412155511</v>
      </c>
      <c r="C8" s="78">
        <f>B8/E3</f>
        <v>68.540638781824995</v>
      </c>
      <c r="D8" s="77">
        <f t="shared" ref="D8:D11" si="0">0.5*$B$3</f>
        <v>1.65</v>
      </c>
      <c r="E8" s="78">
        <f t="shared" ref="E8:E12" si="1">C8*D8</f>
        <v>113.09205399001124</v>
      </c>
      <c r="F8" s="78">
        <f>(E7+E8)/2</f>
        <v>82.94674802343377</v>
      </c>
      <c r="G8" s="80">
        <f>((F7+F8)/$B$4)*2</f>
        <v>57.517999606470951</v>
      </c>
      <c r="I8" s="55">
        <f t="shared" ref="I8:I12" si="2">(C8*20/100)+C8</f>
        <v>82.248766538189997</v>
      </c>
      <c r="J8" s="70">
        <f t="shared" ref="J8:K12" si="3">(E8*20/100)+E8</f>
        <v>135.7104647880135</v>
      </c>
      <c r="K8" s="70">
        <f t="shared" si="3"/>
        <v>99.53609762812053</v>
      </c>
      <c r="L8" s="39"/>
    </row>
    <row r="9" spans="1:12" x14ac:dyDescent="0.25">
      <c r="A9" s="77">
        <v>4</v>
      </c>
      <c r="B9" s="78">
        <f>'masse e forze direzione y'!F22</f>
        <v>1531.9423327036468</v>
      </c>
      <c r="C9" s="78">
        <f>B9/E3</f>
        <v>96.86347922297756</v>
      </c>
      <c r="D9" s="77">
        <f t="shared" si="0"/>
        <v>1.65</v>
      </c>
      <c r="E9" s="78">
        <f t="shared" si="1"/>
        <v>159.82474071791296</v>
      </c>
      <c r="F9" s="78">
        <f>(E8+E9)/2</f>
        <v>136.45839735396208</v>
      </c>
      <c r="G9" s="80">
        <f t="shared" ref="G9:G12" si="4">((F8+F9)/$B$4)*2</f>
        <v>115.40957623344161</v>
      </c>
      <c r="I9" s="55">
        <f t="shared" si="2"/>
        <v>116.23617506757307</v>
      </c>
      <c r="J9" s="70">
        <f t="shared" si="3"/>
        <v>191.78968886149556</v>
      </c>
      <c r="K9" s="70">
        <f t="shared" si="3"/>
        <v>163.7500768247545</v>
      </c>
      <c r="L9" s="39"/>
    </row>
    <row r="10" spans="1:12" x14ac:dyDescent="0.25">
      <c r="A10" s="77">
        <v>3</v>
      </c>
      <c r="B10" s="78">
        <f>'masse e forze direzione y'!F23</f>
        <v>1869.568216586465</v>
      </c>
      <c r="C10" s="78">
        <f>B10/E3</f>
        <v>118.21129179429403</v>
      </c>
      <c r="D10" s="77">
        <f t="shared" si="0"/>
        <v>1.65</v>
      </c>
      <c r="E10" s="78">
        <f t="shared" si="1"/>
        <v>195.04863146058514</v>
      </c>
      <c r="F10" s="78">
        <f t="shared" ref="F10:F12" si="5">(E9+E10)/2</f>
        <v>177.43668608924906</v>
      </c>
      <c r="G10" s="80">
        <f t="shared" si="4"/>
        <v>165.11234729536119</v>
      </c>
      <c r="I10" s="55">
        <f t="shared" si="2"/>
        <v>141.85355015315284</v>
      </c>
      <c r="J10" s="70">
        <f t="shared" si="3"/>
        <v>234.05835775270216</v>
      </c>
      <c r="K10" s="70">
        <f t="shared" si="3"/>
        <v>212.92402330709888</v>
      </c>
      <c r="L10" s="39"/>
    </row>
    <row r="11" spans="1:12" x14ac:dyDescent="0.25">
      <c r="A11" s="77">
        <v>2</v>
      </c>
      <c r="B11" s="78">
        <f>'masse e forze direzione y'!F24</f>
        <v>2096.8806928640061</v>
      </c>
      <c r="C11" s="78">
        <f>B11/E3</f>
        <v>132.58407649577444</v>
      </c>
      <c r="D11" s="77">
        <f t="shared" si="0"/>
        <v>1.65</v>
      </c>
      <c r="E11" s="78">
        <f t="shared" si="1"/>
        <v>218.76372621802781</v>
      </c>
      <c r="F11" s="78">
        <f t="shared" si="5"/>
        <v>206.90617883930648</v>
      </c>
      <c r="G11" s="80">
        <f t="shared" si="4"/>
        <v>202.16867336203015</v>
      </c>
      <c r="I11" s="55">
        <f t="shared" si="2"/>
        <v>159.10089179492934</v>
      </c>
      <c r="J11" s="70">
        <f t="shared" si="3"/>
        <v>262.51647146163339</v>
      </c>
      <c r="K11" s="70">
        <f t="shared" si="3"/>
        <v>248.28741460716776</v>
      </c>
      <c r="L11" s="39"/>
    </row>
    <row r="12" spans="1:12" x14ac:dyDescent="0.25">
      <c r="A12" s="77">
        <v>1</v>
      </c>
      <c r="B12" s="78">
        <f>'masse e forze direzione y'!F25</f>
        <v>2192.9660000000003</v>
      </c>
      <c r="C12" s="78">
        <f>B12/E4</f>
        <v>146.48473320246046</v>
      </c>
      <c r="D12" s="77">
        <f>0.4*$B$3</f>
        <v>1.32</v>
      </c>
      <c r="E12" s="78">
        <f t="shared" si="1"/>
        <v>193.35984782724782</v>
      </c>
      <c r="F12" s="78">
        <f t="shared" si="5"/>
        <v>206.06178702263782</v>
      </c>
      <c r="G12" s="80">
        <f t="shared" si="4"/>
        <v>217.22579867547438</v>
      </c>
      <c r="I12" s="55">
        <f t="shared" si="2"/>
        <v>175.78167984295254</v>
      </c>
      <c r="J12" s="70">
        <f t="shared" si="3"/>
        <v>232.03181739269738</v>
      </c>
      <c r="K12" s="70">
        <f t="shared" si="3"/>
        <v>247.27414442716537</v>
      </c>
      <c r="L12" s="39"/>
    </row>
    <row r="13" spans="1:12" x14ac:dyDescent="0.25">
      <c r="A13" s="77" t="s">
        <v>16</v>
      </c>
      <c r="B13" s="77"/>
      <c r="C13" s="81"/>
      <c r="D13" s="77">
        <f>0.6*$B$3</f>
        <v>1.9799999999999998</v>
      </c>
      <c r="E13" s="78">
        <f>C12*D13</f>
        <v>290.03977174087169</v>
      </c>
      <c r="F13" s="79"/>
      <c r="G13" s="80"/>
      <c r="I13" s="39"/>
      <c r="J13" s="70">
        <f>(E13*20/100)+E13</f>
        <v>348.04772608904602</v>
      </c>
      <c r="K13" s="39"/>
      <c r="L13" s="39"/>
    </row>
    <row r="15" spans="1:12" x14ac:dyDescent="0.25">
      <c r="A15" s="73" t="s">
        <v>101</v>
      </c>
      <c r="B15" s="74" t="s">
        <v>128</v>
      </c>
      <c r="C15" s="64"/>
    </row>
    <row r="16" spans="1:12" x14ac:dyDescent="0.25">
      <c r="A16" s="64" t="s">
        <v>97</v>
      </c>
      <c r="B16" s="64" t="s">
        <v>66</v>
      </c>
      <c r="C16" s="64"/>
      <c r="G16" s="16"/>
    </row>
    <row r="17" spans="1:14" x14ac:dyDescent="0.25">
      <c r="A17" s="64" t="s">
        <v>63</v>
      </c>
      <c r="B17" s="64" t="s">
        <v>64</v>
      </c>
      <c r="C17" s="71">
        <f>(('carichi unitari'!C20)*(5.6321*5.6321))/10</f>
        <v>170.82638668858507</v>
      </c>
    </row>
    <row r="18" spans="1:14" x14ac:dyDescent="0.25">
      <c r="A18" s="64" t="s">
        <v>65</v>
      </c>
      <c r="B18" s="64"/>
      <c r="C18" s="71">
        <f>K26</f>
        <v>247.27414442716537</v>
      </c>
      <c r="H18" s="39"/>
      <c r="I18" s="39"/>
      <c r="J18" s="38" t="s">
        <v>95</v>
      </c>
      <c r="K18" s="38"/>
      <c r="L18" s="38"/>
      <c r="M18" s="1"/>
      <c r="N18" s="1"/>
    </row>
    <row r="19" spans="1:14" x14ac:dyDescent="0.25">
      <c r="A19" s="64" t="s">
        <v>98</v>
      </c>
      <c r="B19" s="64"/>
      <c r="C19" s="71">
        <f>SUM(C17:C18)</f>
        <v>418.10053111575041</v>
      </c>
      <c r="H19" s="39"/>
      <c r="I19" s="39"/>
      <c r="J19" s="39"/>
      <c r="K19" s="39"/>
      <c r="L19" s="39"/>
    </row>
    <row r="20" spans="1:14" x14ac:dyDescent="0.25">
      <c r="A20" s="64"/>
      <c r="B20" s="64"/>
      <c r="C20" s="64"/>
      <c r="H20" s="39"/>
      <c r="I20" s="38" t="s">
        <v>32</v>
      </c>
      <c r="J20" s="38" t="s">
        <v>33</v>
      </c>
      <c r="K20" s="38" t="s">
        <v>35</v>
      </c>
      <c r="L20" s="39"/>
    </row>
    <row r="21" spans="1:14" x14ac:dyDescent="0.25">
      <c r="A21" s="64" t="s">
        <v>67</v>
      </c>
      <c r="B21" s="64"/>
      <c r="C21" s="64"/>
      <c r="H21" s="39"/>
      <c r="I21" s="55">
        <f t="shared" ref="I21:I26" si="6">I7</f>
        <v>38.401048768622772</v>
      </c>
      <c r="J21" s="70">
        <f>J7*1.5</f>
        <v>95.042595702341345</v>
      </c>
      <c r="K21" s="70">
        <f t="shared" ref="K21:K26" si="7">K7</f>
        <v>31.680865234113782</v>
      </c>
      <c r="L21" s="39"/>
    </row>
    <row r="22" spans="1:14" x14ac:dyDescent="0.25">
      <c r="A22" s="64" t="s">
        <v>68</v>
      </c>
      <c r="B22" s="62">
        <v>0.3</v>
      </c>
      <c r="C22" s="64" t="s">
        <v>99</v>
      </c>
      <c r="H22" s="39"/>
      <c r="I22" s="55">
        <f t="shared" si="6"/>
        <v>82.248766538189997</v>
      </c>
      <c r="J22" s="70">
        <f t="shared" ref="J22:J26" si="8">J8*1.5</f>
        <v>203.56569718202024</v>
      </c>
      <c r="K22" s="70">
        <f t="shared" si="7"/>
        <v>99.53609762812053</v>
      </c>
      <c r="L22" s="39"/>
    </row>
    <row r="23" spans="1:14" x14ac:dyDescent="0.25">
      <c r="A23" s="64" t="s">
        <v>69</v>
      </c>
      <c r="B23" s="62" t="s">
        <v>70</v>
      </c>
      <c r="C23" s="64"/>
      <c r="H23" s="39"/>
      <c r="I23" s="55">
        <f t="shared" si="6"/>
        <v>116.23617506757307</v>
      </c>
      <c r="J23" s="70">
        <f t="shared" si="8"/>
        <v>287.68453329224337</v>
      </c>
      <c r="K23" s="70">
        <f t="shared" si="7"/>
        <v>163.7500768247545</v>
      </c>
      <c r="L23" s="39"/>
    </row>
    <row r="24" spans="1:14" x14ac:dyDescent="0.25">
      <c r="A24" s="64" t="s">
        <v>71</v>
      </c>
      <c r="B24" s="62">
        <v>0.04</v>
      </c>
      <c r="C24" s="64" t="s">
        <v>99</v>
      </c>
      <c r="H24" s="39"/>
      <c r="I24" s="55">
        <f t="shared" si="6"/>
        <v>141.85355015315284</v>
      </c>
      <c r="J24" s="70">
        <f t="shared" si="8"/>
        <v>351.08753662905326</v>
      </c>
      <c r="K24" s="70">
        <f t="shared" si="7"/>
        <v>212.92402330709888</v>
      </c>
      <c r="L24" s="39"/>
    </row>
    <row r="25" spans="1:14" x14ac:dyDescent="0.25">
      <c r="A25" s="64" t="s">
        <v>72</v>
      </c>
      <c r="B25" s="63">
        <f>C19</f>
        <v>418.10053111575041</v>
      </c>
      <c r="C25" s="64"/>
      <c r="H25" s="39"/>
      <c r="I25" s="55">
        <f t="shared" si="6"/>
        <v>159.10089179492934</v>
      </c>
      <c r="J25" s="70">
        <f t="shared" si="8"/>
        <v>393.77470719245008</v>
      </c>
      <c r="K25" s="70">
        <f t="shared" si="7"/>
        <v>248.28741460716776</v>
      </c>
      <c r="L25" s="39"/>
    </row>
    <row r="26" spans="1:14" x14ac:dyDescent="0.25">
      <c r="A26" s="64" t="s">
        <v>73</v>
      </c>
      <c r="B26" s="62">
        <v>25</v>
      </c>
      <c r="C26" s="64"/>
      <c r="H26" s="39"/>
      <c r="I26" s="55">
        <f t="shared" si="6"/>
        <v>175.78167984295254</v>
      </c>
      <c r="J26" s="70">
        <f t="shared" si="8"/>
        <v>348.04772608904608</v>
      </c>
      <c r="K26" s="70">
        <f t="shared" si="7"/>
        <v>247.27414442716537</v>
      </c>
      <c r="L26" s="39"/>
    </row>
    <row r="27" spans="1:14" x14ac:dyDescent="0.25">
      <c r="A27" s="64" t="s">
        <v>74</v>
      </c>
      <c r="B27" s="62">
        <v>1.7000000000000001E-2</v>
      </c>
      <c r="C27" s="64"/>
      <c r="H27" s="39"/>
      <c r="I27" s="39"/>
      <c r="J27" s="70">
        <f>J13</f>
        <v>348.04772608904602</v>
      </c>
      <c r="K27" s="39"/>
      <c r="L27" s="39"/>
    </row>
    <row r="28" spans="1:14" x14ac:dyDescent="0.25">
      <c r="A28" s="64"/>
      <c r="B28" s="62"/>
      <c r="C28" s="64" t="s">
        <v>76</v>
      </c>
    </row>
    <row r="29" spans="1:14" x14ac:dyDescent="0.25">
      <c r="A29" s="64" t="s">
        <v>69</v>
      </c>
      <c r="B29" s="75">
        <f>B27*SQRT(B25/B22)</f>
        <v>0.63464177163827862</v>
      </c>
      <c r="C29" s="64"/>
      <c r="D29" s="15" t="s">
        <v>75</v>
      </c>
      <c r="E29" s="15"/>
      <c r="F29" s="15"/>
      <c r="G29" s="15" t="s">
        <v>245</v>
      </c>
      <c r="I29" t="s">
        <v>113</v>
      </c>
    </row>
    <row r="32" spans="1:14" x14ac:dyDescent="0.25">
      <c r="A32" s="15" t="s">
        <v>102</v>
      </c>
      <c r="B32" s="15"/>
    </row>
    <row r="33" spans="1:8" x14ac:dyDescent="0.25">
      <c r="B33" s="17"/>
    </row>
    <row r="34" spans="1:8" x14ac:dyDescent="0.25">
      <c r="A34" s="77" t="s">
        <v>0</v>
      </c>
      <c r="B34" s="78" t="s">
        <v>94</v>
      </c>
      <c r="C34" s="77" t="s">
        <v>106</v>
      </c>
      <c r="D34" s="77" t="s">
        <v>103</v>
      </c>
      <c r="E34" s="77" t="s">
        <v>104</v>
      </c>
      <c r="F34" s="77" t="s">
        <v>107</v>
      </c>
      <c r="G34" s="77" t="s">
        <v>108</v>
      </c>
      <c r="H34" s="1"/>
    </row>
    <row r="35" spans="1:8" x14ac:dyDescent="0.25">
      <c r="A35" s="77">
        <v>6</v>
      </c>
      <c r="B35" s="78">
        <f>J21</f>
        <v>95.042595702341345</v>
      </c>
      <c r="C35" s="78">
        <f>G7</f>
        <v>13.887076444389118</v>
      </c>
      <c r="D35" s="78">
        <f>'carichi unitari'!D73</f>
        <v>317.46439829430005</v>
      </c>
      <c r="E35" s="82">
        <f>'carichi unitari'!E73</f>
        <v>125.87298625000003</v>
      </c>
      <c r="F35" s="78">
        <f>D35+C35</f>
        <v>331.35147473868915</v>
      </c>
      <c r="G35" s="82">
        <f>E35-C35</f>
        <v>111.9859098056109</v>
      </c>
    </row>
    <row r="36" spans="1:8" x14ac:dyDescent="0.25">
      <c r="A36" s="77">
        <v>5</v>
      </c>
      <c r="B36" s="78">
        <f t="shared" ref="B36:B40" si="9">J22</f>
        <v>203.56569718202024</v>
      </c>
      <c r="C36" s="78">
        <f t="shared" ref="C36:C40" si="10">G8</f>
        <v>57.517999606470951</v>
      </c>
      <c r="D36" s="78">
        <f>'carichi unitari'!D74</f>
        <v>634.92879658860011</v>
      </c>
      <c r="E36" s="82">
        <f>'carichi unitari'!E74</f>
        <v>251.74597250000005</v>
      </c>
      <c r="F36" s="78">
        <f t="shared" ref="F36:F40" si="11">D36+C36</f>
        <v>692.4467961950711</v>
      </c>
      <c r="G36" s="82">
        <f t="shared" ref="G36:G40" si="12">E36-C36</f>
        <v>194.22797289352911</v>
      </c>
    </row>
    <row r="37" spans="1:8" x14ac:dyDescent="0.25">
      <c r="A37" s="77">
        <v>4</v>
      </c>
      <c r="B37" s="78">
        <f t="shared" si="9"/>
        <v>287.68453329224337</v>
      </c>
      <c r="C37" s="78">
        <f t="shared" si="10"/>
        <v>115.40957623344161</v>
      </c>
      <c r="D37" s="78">
        <f>'carichi unitari'!D75</f>
        <v>952.39319488290016</v>
      </c>
      <c r="E37" s="82">
        <f>'carichi unitari'!E75</f>
        <v>377.61895875000005</v>
      </c>
      <c r="F37" s="78">
        <f t="shared" si="11"/>
        <v>1067.8027711163418</v>
      </c>
      <c r="G37" s="82">
        <f t="shared" si="12"/>
        <v>262.20938251655843</v>
      </c>
    </row>
    <row r="38" spans="1:8" x14ac:dyDescent="0.25">
      <c r="A38" s="77">
        <v>3</v>
      </c>
      <c r="B38" s="78">
        <f t="shared" si="9"/>
        <v>351.08753662905326</v>
      </c>
      <c r="C38" s="78">
        <f t="shared" si="10"/>
        <v>165.11234729536119</v>
      </c>
      <c r="D38" s="78">
        <f>'carichi unitari'!D76</f>
        <v>1269.8575931772002</v>
      </c>
      <c r="E38" s="82">
        <f>'carichi unitari'!E76</f>
        <v>503.4919450000001</v>
      </c>
      <c r="F38" s="78">
        <f t="shared" si="11"/>
        <v>1434.9699404725613</v>
      </c>
      <c r="G38" s="82">
        <f t="shared" si="12"/>
        <v>338.37959770463891</v>
      </c>
    </row>
    <row r="39" spans="1:8" x14ac:dyDescent="0.25">
      <c r="A39" s="77">
        <v>2</v>
      </c>
      <c r="B39" s="78">
        <f t="shared" si="9"/>
        <v>393.77470719245008</v>
      </c>
      <c r="C39" s="78">
        <f t="shared" si="10"/>
        <v>202.16867336203015</v>
      </c>
      <c r="D39" s="78">
        <f>'carichi unitari'!D77</f>
        <v>1587.3219914715003</v>
      </c>
      <c r="E39" s="82">
        <f>'carichi unitari'!E77</f>
        <v>629.36493125000015</v>
      </c>
      <c r="F39" s="78">
        <f t="shared" si="11"/>
        <v>1789.4906648335304</v>
      </c>
      <c r="G39" s="82">
        <f t="shared" si="12"/>
        <v>427.19625788796998</v>
      </c>
    </row>
    <row r="40" spans="1:8" x14ac:dyDescent="0.25">
      <c r="A40" s="77">
        <v>1</v>
      </c>
      <c r="B40" s="78">
        <f t="shared" si="9"/>
        <v>348.04772608904608</v>
      </c>
      <c r="C40" s="78">
        <f t="shared" si="10"/>
        <v>217.22579867547438</v>
      </c>
      <c r="D40" s="78">
        <f>'carichi unitari'!D78</f>
        <v>1904.7863897658003</v>
      </c>
      <c r="E40" s="82">
        <f>'carichi unitari'!E78</f>
        <v>755.23791750000009</v>
      </c>
      <c r="F40" s="78">
        <f t="shared" si="11"/>
        <v>2122.0121884412747</v>
      </c>
      <c r="G40" s="82">
        <f t="shared" si="12"/>
        <v>538.01211882452571</v>
      </c>
    </row>
    <row r="41" spans="1:8" x14ac:dyDescent="0.25">
      <c r="A41" s="81"/>
      <c r="B41" s="78">
        <f>J27</f>
        <v>348.04772608904602</v>
      </c>
      <c r="C41" s="81"/>
      <c r="D41" s="81"/>
      <c r="E41" s="81"/>
      <c r="F41" s="81"/>
      <c r="G41" s="81"/>
    </row>
    <row r="42" spans="1:8" x14ac:dyDescent="0.25">
      <c r="A42" s="15" t="s">
        <v>180</v>
      </c>
    </row>
    <row r="43" spans="1:8" x14ac:dyDescent="0.25">
      <c r="A43" s="64" t="s">
        <v>109</v>
      </c>
      <c r="B43" s="71">
        <f>J27</f>
        <v>348.04772608904602</v>
      </c>
    </row>
    <row r="44" spans="1:8" x14ac:dyDescent="0.25">
      <c r="A44" s="64" t="s">
        <v>110</v>
      </c>
      <c r="B44" s="71">
        <f>F40</f>
        <v>2122.0121884412747</v>
      </c>
      <c r="D44" s="33" t="s">
        <v>112</v>
      </c>
      <c r="E44" t="s">
        <v>113</v>
      </c>
    </row>
    <row r="45" spans="1:8" x14ac:dyDescent="0.25">
      <c r="A45" s="64" t="s">
        <v>111</v>
      </c>
      <c r="B45" s="76">
        <f>G40</f>
        <v>538.01211882452571</v>
      </c>
      <c r="C45" s="32" t="s">
        <v>151</v>
      </c>
      <c r="D45" s="49">
        <f>J25</f>
        <v>393.77470719245008</v>
      </c>
    </row>
    <row r="46" spans="1:8" x14ac:dyDescent="0.25">
      <c r="A46" s="64"/>
      <c r="B46" s="64"/>
    </row>
    <row r="47" spans="1:8" x14ac:dyDescent="0.25">
      <c r="A47" s="41" t="s">
        <v>298</v>
      </c>
      <c r="B47" s="42"/>
      <c r="C47" s="43"/>
    </row>
    <row r="51" spans="9:12" x14ac:dyDescent="0.25">
      <c r="I51" s="73" t="s">
        <v>101</v>
      </c>
      <c r="J51" s="74" t="s">
        <v>129</v>
      </c>
      <c r="K51" s="64"/>
      <c r="L51" s="7"/>
    </row>
    <row r="52" spans="9:12" x14ac:dyDescent="0.25">
      <c r="I52" s="64" t="s">
        <v>97</v>
      </c>
      <c r="J52" s="64" t="s">
        <v>66</v>
      </c>
      <c r="K52" s="64"/>
      <c r="L52" s="7"/>
    </row>
    <row r="53" spans="9:12" x14ac:dyDescent="0.25">
      <c r="I53" s="64" t="s">
        <v>63</v>
      </c>
      <c r="J53" s="64" t="s">
        <v>64</v>
      </c>
      <c r="K53" s="63">
        <f>(('carichi unitari'!C43)*(3.8022*3.8022))/10</f>
        <v>75.810161515657498</v>
      </c>
      <c r="L53" s="7"/>
    </row>
    <row r="54" spans="9:12" x14ac:dyDescent="0.25">
      <c r="I54" s="64" t="s">
        <v>65</v>
      </c>
      <c r="J54" s="64"/>
      <c r="K54" s="63"/>
      <c r="L54" s="7"/>
    </row>
    <row r="55" spans="9:12" x14ac:dyDescent="0.25">
      <c r="I55" s="64" t="s">
        <v>98</v>
      </c>
      <c r="J55" s="64"/>
      <c r="K55" s="63">
        <f>SUM(K53:K54)</f>
        <v>75.810161515657498</v>
      </c>
      <c r="L55" s="7"/>
    </row>
    <row r="56" spans="9:12" x14ac:dyDescent="0.25">
      <c r="I56" s="64"/>
      <c r="J56" s="64"/>
      <c r="K56" s="64"/>
      <c r="L56" s="7"/>
    </row>
    <row r="57" spans="9:12" x14ac:dyDescent="0.25">
      <c r="I57" s="64" t="s">
        <v>67</v>
      </c>
      <c r="J57" s="64"/>
      <c r="K57" s="64"/>
      <c r="L57" s="7"/>
    </row>
    <row r="58" spans="9:12" x14ac:dyDescent="0.25">
      <c r="I58" s="64" t="s">
        <v>68</v>
      </c>
      <c r="J58" s="64">
        <v>0.28000000000000003</v>
      </c>
      <c r="K58" s="64" t="s">
        <v>99</v>
      </c>
      <c r="L58" s="7"/>
    </row>
    <row r="59" spans="9:12" x14ac:dyDescent="0.25">
      <c r="I59" s="64" t="s">
        <v>69</v>
      </c>
      <c r="J59" s="62" t="s">
        <v>70</v>
      </c>
      <c r="K59" s="64"/>
      <c r="L59" s="7"/>
    </row>
    <row r="60" spans="9:12" x14ac:dyDescent="0.25">
      <c r="I60" s="64" t="s">
        <v>71</v>
      </c>
      <c r="J60" s="64">
        <v>0.04</v>
      </c>
      <c r="K60" s="64" t="s">
        <v>99</v>
      </c>
      <c r="L60" s="7"/>
    </row>
    <row r="61" spans="9:12" x14ac:dyDescent="0.25">
      <c r="I61" s="64" t="s">
        <v>72</v>
      </c>
      <c r="J61" s="71">
        <f>K55</f>
        <v>75.810161515657498</v>
      </c>
      <c r="K61" s="64"/>
      <c r="L61" s="7"/>
    </row>
    <row r="62" spans="9:12" x14ac:dyDescent="0.25">
      <c r="I62" s="64" t="s">
        <v>73</v>
      </c>
      <c r="J62" s="64">
        <v>25</v>
      </c>
      <c r="K62" s="64"/>
      <c r="L62" s="7"/>
    </row>
    <row r="63" spans="9:12" x14ac:dyDescent="0.25">
      <c r="I63" s="64" t="s">
        <v>74</v>
      </c>
      <c r="J63" s="64">
        <v>1.7000000000000001E-2</v>
      </c>
      <c r="K63" s="64"/>
      <c r="L63" s="7"/>
    </row>
    <row r="64" spans="9:12" x14ac:dyDescent="0.25">
      <c r="I64" s="64"/>
      <c r="J64" s="64"/>
      <c r="K64" s="64" t="s">
        <v>76</v>
      </c>
      <c r="L64" s="7"/>
    </row>
    <row r="65" spans="9:14" x14ac:dyDescent="0.25">
      <c r="I65" s="64" t="s">
        <v>69</v>
      </c>
      <c r="J65" s="72">
        <f>J63*SQRT(J61/J58)</f>
        <v>0.27972650340507998</v>
      </c>
      <c r="K65" s="64"/>
      <c r="L65" s="7"/>
      <c r="M65" s="15" t="s">
        <v>152</v>
      </c>
      <c r="N65" s="15"/>
    </row>
  </sheetData>
  <pageMargins left="0.7" right="0.7" top="0.75" bottom="0.75" header="0.3" footer="0.3"/>
  <pageSetup paperSize="9" orientation="portrait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8"/>
  <sheetViews>
    <sheetView topLeftCell="A73" zoomScale="83" zoomScaleNormal="83" workbookViewId="0">
      <selection activeCell="E81" sqref="E81"/>
    </sheetView>
  </sheetViews>
  <sheetFormatPr defaultRowHeight="15" x14ac:dyDescent="0.25"/>
  <cols>
    <col min="2" max="2" width="18.28515625" customWidth="1"/>
    <col min="3" max="3" width="23.5703125" customWidth="1"/>
    <col min="4" max="4" width="21.28515625" customWidth="1"/>
    <col min="5" max="5" width="23.5703125" customWidth="1"/>
    <col min="6" max="6" width="18.140625" customWidth="1"/>
    <col min="8" max="9" width="9.42578125" bestFit="1" customWidth="1"/>
  </cols>
  <sheetData>
    <row r="1" spans="1:4" x14ac:dyDescent="0.25">
      <c r="A1" s="15" t="s">
        <v>297</v>
      </c>
      <c r="B1" s="114"/>
    </row>
    <row r="2" spans="1:4" x14ac:dyDescent="0.25">
      <c r="A2" s="92"/>
      <c r="B2" s="92" t="s">
        <v>206</v>
      </c>
      <c r="C2" s="92"/>
      <c r="D2" s="96"/>
    </row>
    <row r="3" spans="1:4" x14ac:dyDescent="0.25">
      <c r="A3" s="92" t="s">
        <v>0</v>
      </c>
      <c r="B3" s="92" t="s">
        <v>203</v>
      </c>
      <c r="C3" s="92" t="s">
        <v>204</v>
      </c>
      <c r="D3" s="96"/>
    </row>
    <row r="4" spans="1:4" x14ac:dyDescent="0.25">
      <c r="A4" s="93">
        <v>6</v>
      </c>
      <c r="B4" s="12">
        <f>'car.sollecitazione  direzione x'!E7</f>
        <v>51.315013026337468</v>
      </c>
      <c r="C4" s="2">
        <v>70.739999999999995</v>
      </c>
      <c r="D4" s="97"/>
    </row>
    <row r="5" spans="1:4" x14ac:dyDescent="0.25">
      <c r="A5" s="93">
        <v>5</v>
      </c>
      <c r="B5" s="12">
        <f>'car.sollecitazione  direzione x'!E8</f>
        <v>113.36040483768284</v>
      </c>
      <c r="C5" s="2">
        <v>144.26</v>
      </c>
      <c r="D5" s="97"/>
    </row>
    <row r="6" spans="1:4" x14ac:dyDescent="0.25">
      <c r="A6" s="93">
        <v>4</v>
      </c>
      <c r="B6" s="12">
        <f>'car.sollecitazione  direzione x'!E9</f>
        <v>160.20398137309047</v>
      </c>
      <c r="C6" s="2">
        <v>187.04</v>
      </c>
      <c r="D6" s="97"/>
    </row>
    <row r="7" spans="1:4" x14ac:dyDescent="0.25">
      <c r="A7" s="93">
        <v>3</v>
      </c>
      <c r="B7" s="12">
        <f>'car.sollecitazione  direzione x'!E10</f>
        <v>195.51145323933062</v>
      </c>
      <c r="C7" s="2">
        <v>218.3</v>
      </c>
      <c r="D7" s="97"/>
    </row>
    <row r="8" spans="1:4" x14ac:dyDescent="0.25">
      <c r="A8" s="93">
        <v>2</v>
      </c>
      <c r="B8" s="12">
        <f>'car.sollecitazione  direzione x'!E11</f>
        <v>219.28282043640317</v>
      </c>
      <c r="C8" s="2">
        <v>232.55</v>
      </c>
      <c r="D8" s="97"/>
    </row>
    <row r="9" spans="1:4" x14ac:dyDescent="0.25">
      <c r="A9" s="93">
        <v>1</v>
      </c>
      <c r="B9" s="12">
        <f>'car.sollecitazione  direzione x'!E12</f>
        <v>158.8502271117319</v>
      </c>
      <c r="C9" s="2">
        <v>168.5</v>
      </c>
      <c r="D9" s="97"/>
    </row>
    <row r="10" spans="1:4" x14ac:dyDescent="0.25">
      <c r="A10" s="93" t="s">
        <v>205</v>
      </c>
      <c r="B10" s="12">
        <f>'car.sollecitazione  direzione x'!E13</f>
        <v>238.27534066759779</v>
      </c>
      <c r="C10" s="2" t="s">
        <v>282</v>
      </c>
      <c r="D10" s="97"/>
    </row>
    <row r="11" spans="1:4" x14ac:dyDescent="0.25">
      <c r="D11" s="98"/>
    </row>
    <row r="12" spans="1:4" x14ac:dyDescent="0.25">
      <c r="A12" s="92"/>
      <c r="B12" s="92" t="s">
        <v>207</v>
      </c>
      <c r="C12" s="92"/>
      <c r="D12" s="96"/>
    </row>
    <row r="13" spans="1:4" x14ac:dyDescent="0.25">
      <c r="A13" s="92" t="s">
        <v>0</v>
      </c>
      <c r="B13" s="92" t="s">
        <v>203</v>
      </c>
      <c r="C13" s="92" t="s">
        <v>204</v>
      </c>
      <c r="D13" s="96"/>
    </row>
    <row r="14" spans="1:4" x14ac:dyDescent="0.25">
      <c r="A14" s="93">
        <v>6</v>
      </c>
      <c r="B14" s="12">
        <f>'car.sollecitazione direzione y'!E7</f>
        <v>52.801442056856303</v>
      </c>
      <c r="C14" s="2">
        <v>62.48</v>
      </c>
      <c r="D14" s="97"/>
    </row>
    <row r="15" spans="1:4" x14ac:dyDescent="0.25">
      <c r="A15" s="93">
        <v>5</v>
      </c>
      <c r="B15" s="12">
        <f>'car.sollecitazione direzione y'!E8</f>
        <v>113.09205399001124</v>
      </c>
      <c r="C15" s="2">
        <v>129.94</v>
      </c>
      <c r="D15" s="97"/>
    </row>
    <row r="16" spans="1:4" x14ac:dyDescent="0.25">
      <c r="A16" s="93">
        <v>4</v>
      </c>
      <c r="B16" s="12">
        <f>'car.sollecitazione direzione y'!E9</f>
        <v>159.82474071791296</v>
      </c>
      <c r="C16" s="2">
        <v>170.74</v>
      </c>
      <c r="D16" s="97"/>
    </row>
    <row r="17" spans="1:9" x14ac:dyDescent="0.25">
      <c r="A17" s="93">
        <v>3</v>
      </c>
      <c r="B17" s="12">
        <f>'car.sollecitazione direzione y'!E10</f>
        <v>195.04863146058514</v>
      </c>
      <c r="C17" s="2">
        <v>201.59</v>
      </c>
      <c r="D17" s="97"/>
    </row>
    <row r="18" spans="1:9" x14ac:dyDescent="0.25">
      <c r="A18" s="93">
        <v>2</v>
      </c>
      <c r="B18" s="12">
        <f>'car.sollecitazione direzione y'!E11</f>
        <v>218.76372621802781</v>
      </c>
      <c r="C18" s="2">
        <v>223.6</v>
      </c>
      <c r="D18" s="97"/>
    </row>
    <row r="19" spans="1:9" x14ac:dyDescent="0.25">
      <c r="A19" s="93">
        <v>1</v>
      </c>
      <c r="B19" s="12">
        <f>'car.sollecitazione direzione y'!E12</f>
        <v>193.35984782724782</v>
      </c>
      <c r="C19" s="2">
        <v>207.45</v>
      </c>
      <c r="D19" s="97"/>
    </row>
    <row r="20" spans="1:9" x14ac:dyDescent="0.25">
      <c r="A20" s="93" t="s">
        <v>16</v>
      </c>
      <c r="B20" s="12">
        <f>'car.sollecitazione direzione y'!E13</f>
        <v>290.03977174087169</v>
      </c>
      <c r="C20" s="2" t="s">
        <v>283</v>
      </c>
      <c r="D20" s="97"/>
    </row>
    <row r="22" spans="1:9" x14ac:dyDescent="0.25">
      <c r="A22" s="92"/>
      <c r="B22" s="92" t="s">
        <v>250</v>
      </c>
      <c r="C22" s="92"/>
      <c r="D22" s="92"/>
      <c r="E22" s="96"/>
      <c r="F22" s="96"/>
    </row>
    <row r="23" spans="1:9" x14ac:dyDescent="0.25">
      <c r="A23" s="92" t="s">
        <v>0</v>
      </c>
      <c r="B23" s="94" t="s">
        <v>208</v>
      </c>
      <c r="C23" s="92" t="s">
        <v>209</v>
      </c>
      <c r="D23" s="92" t="s">
        <v>210</v>
      </c>
      <c r="E23" s="96"/>
      <c r="F23" s="96"/>
    </row>
    <row r="24" spans="1:9" x14ac:dyDescent="0.25">
      <c r="A24" s="93">
        <v>6</v>
      </c>
      <c r="B24" s="82">
        <f>'car.sollecitazione  direzione x'!F7</f>
        <v>25.657506513168734</v>
      </c>
      <c r="C24" s="77">
        <v>38.270000000000003</v>
      </c>
      <c r="D24" s="77" t="s">
        <v>284</v>
      </c>
      <c r="E24" s="99"/>
      <c r="F24" s="99"/>
    </row>
    <row r="25" spans="1:9" x14ac:dyDescent="0.25">
      <c r="A25" s="93">
        <v>5</v>
      </c>
      <c r="B25" s="82">
        <f>'car.sollecitazione  direzione x'!F8</f>
        <v>82.337708932010145</v>
      </c>
      <c r="C25" s="77">
        <v>105.68</v>
      </c>
      <c r="D25" s="77" t="s">
        <v>285</v>
      </c>
      <c r="E25" s="100"/>
      <c r="F25" s="100" t="s">
        <v>251</v>
      </c>
      <c r="G25" s="15"/>
      <c r="H25" s="15"/>
      <c r="I25" s="15"/>
    </row>
    <row r="26" spans="1:9" x14ac:dyDescent="0.25">
      <c r="A26" s="93">
        <v>4</v>
      </c>
      <c r="B26" s="82">
        <f>'car.sollecitazione  direzione x'!F9</f>
        <v>136.78219310538665</v>
      </c>
      <c r="C26" s="77">
        <v>166.25</v>
      </c>
      <c r="D26" s="77" t="s">
        <v>286</v>
      </c>
      <c r="E26" s="99"/>
      <c r="F26" s="99"/>
    </row>
    <row r="27" spans="1:9" x14ac:dyDescent="0.25">
      <c r="A27" s="93">
        <v>3</v>
      </c>
      <c r="B27" s="82">
        <f>'car.sollecitazione  direzione x'!F10</f>
        <v>177.85771730621053</v>
      </c>
      <c r="C27" s="77">
        <v>218.7</v>
      </c>
      <c r="D27" s="77" t="s">
        <v>287</v>
      </c>
      <c r="E27" s="99"/>
      <c r="F27" s="99"/>
    </row>
    <row r="28" spans="1:9" x14ac:dyDescent="0.25">
      <c r="A28" s="93">
        <v>2</v>
      </c>
      <c r="B28" s="82">
        <f>'car.sollecitazione  direzione x'!F11</f>
        <v>207.3971368378669</v>
      </c>
      <c r="C28" s="77">
        <v>253.71</v>
      </c>
      <c r="D28" s="77" t="s">
        <v>288</v>
      </c>
      <c r="E28" s="99"/>
      <c r="F28" s="99"/>
    </row>
    <row r="29" spans="1:9" x14ac:dyDescent="0.25">
      <c r="A29" s="93">
        <v>1</v>
      </c>
      <c r="B29" s="82">
        <f>'car.sollecitazione  direzione x'!F12</f>
        <v>189.06652377406755</v>
      </c>
      <c r="C29" s="77">
        <v>245.92</v>
      </c>
      <c r="D29" s="77" t="s">
        <v>289</v>
      </c>
      <c r="E29" s="99"/>
      <c r="F29" s="99"/>
    </row>
    <row r="30" spans="1:9" x14ac:dyDescent="0.25">
      <c r="B30" s="89"/>
      <c r="E30" s="98"/>
      <c r="F30" s="98"/>
    </row>
    <row r="31" spans="1:9" x14ac:dyDescent="0.25">
      <c r="E31" s="98"/>
      <c r="F31" s="98"/>
    </row>
    <row r="32" spans="1:9" x14ac:dyDescent="0.25">
      <c r="A32" s="92"/>
      <c r="B32" s="92" t="s">
        <v>211</v>
      </c>
      <c r="C32" s="92"/>
      <c r="D32" s="92"/>
      <c r="E32" s="96"/>
      <c r="F32" s="96"/>
    </row>
    <row r="33" spans="1:14" x14ac:dyDescent="0.25">
      <c r="A33" s="92" t="s">
        <v>0</v>
      </c>
      <c r="B33" s="94" t="s">
        <v>208</v>
      </c>
      <c r="C33" s="92" t="s">
        <v>209</v>
      </c>
      <c r="D33" s="92" t="s">
        <v>210</v>
      </c>
      <c r="E33" s="96"/>
      <c r="F33" s="96"/>
    </row>
    <row r="34" spans="1:14" x14ac:dyDescent="0.25">
      <c r="A34" s="93">
        <v>6</v>
      </c>
      <c r="B34" s="12">
        <f>'car.sollecitazione direzione y'!F7</f>
        <v>26.400721028428151</v>
      </c>
      <c r="C34" s="2">
        <v>33.880000000000003</v>
      </c>
      <c r="D34" s="2" t="s">
        <v>290</v>
      </c>
      <c r="E34" s="97"/>
      <c r="F34" s="97"/>
    </row>
    <row r="35" spans="1:14" x14ac:dyDescent="0.25">
      <c r="A35" s="93">
        <v>5</v>
      </c>
      <c r="B35" s="12">
        <f>'car.sollecitazione direzione y'!F8</f>
        <v>82.94674802343377</v>
      </c>
      <c r="C35" s="2">
        <v>92.16</v>
      </c>
      <c r="D35" s="2" t="s">
        <v>291</v>
      </c>
      <c r="E35" s="97"/>
      <c r="F35" s="97"/>
    </row>
    <row r="36" spans="1:14" x14ac:dyDescent="0.25">
      <c r="A36" s="93">
        <v>4</v>
      </c>
      <c r="B36" s="12">
        <f>'car.sollecitazione direzione y'!F9</f>
        <v>136.45839735396208</v>
      </c>
      <c r="C36" s="2">
        <v>146.05000000000001</v>
      </c>
      <c r="D36" s="2" t="s">
        <v>292</v>
      </c>
      <c r="E36" s="97"/>
      <c r="F36" s="97"/>
    </row>
    <row r="37" spans="1:14" x14ac:dyDescent="0.25">
      <c r="A37" s="93">
        <v>3</v>
      </c>
      <c r="B37" s="12">
        <f>'car.sollecitazione direzione y'!F10</f>
        <v>177.43668608924906</v>
      </c>
      <c r="C37" s="2">
        <v>189.35</v>
      </c>
      <c r="D37" s="2" t="s">
        <v>293</v>
      </c>
      <c r="E37" s="97"/>
      <c r="F37" s="97"/>
    </row>
    <row r="38" spans="1:14" x14ac:dyDescent="0.25">
      <c r="A38" s="93">
        <v>2</v>
      </c>
      <c r="B38" s="12">
        <f>'car.sollecitazione direzione y'!F11</f>
        <v>206.90617883930648</v>
      </c>
      <c r="C38" s="2">
        <v>224.05</v>
      </c>
      <c r="D38" s="2" t="s">
        <v>294</v>
      </c>
      <c r="E38" s="97"/>
      <c r="F38" s="97"/>
    </row>
    <row r="39" spans="1:14" x14ac:dyDescent="0.25">
      <c r="A39" s="93">
        <v>1</v>
      </c>
      <c r="B39" s="12">
        <f>'car.sollecitazione direzione y'!F12</f>
        <v>206.06178702263782</v>
      </c>
      <c r="C39" s="2">
        <v>237.76</v>
      </c>
      <c r="D39" s="2" t="s">
        <v>295</v>
      </c>
      <c r="E39" s="97"/>
      <c r="F39" s="97"/>
    </row>
    <row r="42" spans="1:14" x14ac:dyDescent="0.25">
      <c r="A42" s="92" t="s">
        <v>230</v>
      </c>
      <c r="B42" s="92"/>
      <c r="C42" s="92"/>
      <c r="D42" s="93" t="s">
        <v>231</v>
      </c>
      <c r="E42" s="92"/>
      <c r="F42" s="93" t="s">
        <v>233</v>
      </c>
      <c r="G42" s="92"/>
      <c r="H42" s="92"/>
      <c r="I42" s="92"/>
      <c r="J42" s="92" t="s">
        <v>234</v>
      </c>
      <c r="K42" s="92"/>
      <c r="L42" s="92" t="s">
        <v>232</v>
      </c>
      <c r="M42" s="92"/>
      <c r="N42" s="7"/>
    </row>
    <row r="43" spans="1:14" x14ac:dyDescent="0.25">
      <c r="A43" s="92" t="s">
        <v>0</v>
      </c>
      <c r="B43" s="92" t="s">
        <v>252</v>
      </c>
      <c r="C43" s="92" t="s">
        <v>253</v>
      </c>
      <c r="D43" s="92" t="s">
        <v>229</v>
      </c>
      <c r="E43" s="92" t="str">
        <f>B43</f>
        <v>ux</v>
      </c>
      <c r="F43" s="92" t="str">
        <f>C43</f>
        <v>uy</v>
      </c>
      <c r="G43" s="92" t="str">
        <f>D43</f>
        <v>rot</v>
      </c>
      <c r="H43" s="92" t="s">
        <v>235</v>
      </c>
      <c r="I43" s="92" t="s">
        <v>236</v>
      </c>
      <c r="J43" s="92" t="s">
        <v>254</v>
      </c>
      <c r="K43" s="92" t="s">
        <v>255</v>
      </c>
      <c r="L43" s="92" t="s">
        <v>254</v>
      </c>
      <c r="M43" s="92" t="s">
        <v>255</v>
      </c>
      <c r="N43" s="7"/>
    </row>
    <row r="44" spans="1:14" x14ac:dyDescent="0.25">
      <c r="A44" s="95">
        <v>6</v>
      </c>
      <c r="B44" s="12">
        <v>18.91</v>
      </c>
      <c r="C44" s="12">
        <v>-0.36899999999999999</v>
      </c>
      <c r="D44" s="12">
        <v>3.0000000000000001E-3</v>
      </c>
      <c r="E44" s="2">
        <v>0.4</v>
      </c>
      <c r="F44" s="2">
        <v>15.019</v>
      </c>
      <c r="G44" s="2">
        <v>4.8000000000000001E-2</v>
      </c>
      <c r="H44" s="12">
        <f>'Centro di rigidezza'!E4</f>
        <v>14.701086391130852</v>
      </c>
      <c r="I44" s="12">
        <f>'Centro di rigidezza'!F4</f>
        <v>12.093137815325406</v>
      </c>
      <c r="J44" s="91">
        <f>B44+D44*I44</f>
        <v>18.946279413445975</v>
      </c>
      <c r="K44" s="3">
        <f>C44+D44*H44</f>
        <v>-0.32489674082660747</v>
      </c>
      <c r="L44" s="12">
        <f>E44+G44*I44</f>
        <v>0.98047061513561951</v>
      </c>
      <c r="M44" s="91">
        <f>F44+G44*H44</f>
        <v>15.724652146774281</v>
      </c>
      <c r="N44" s="7"/>
    </row>
    <row r="45" spans="1:14" x14ac:dyDescent="0.25">
      <c r="A45" s="95">
        <v>5</v>
      </c>
      <c r="B45" s="12">
        <v>17.239999999999998</v>
      </c>
      <c r="C45" s="12">
        <v>-6.3E-2</v>
      </c>
      <c r="D45" s="12">
        <v>4.0000000000000001E-3</v>
      </c>
      <c r="E45" s="2">
        <v>0.38</v>
      </c>
      <c r="F45" s="2">
        <v>13.698</v>
      </c>
      <c r="G45" s="2">
        <v>4.4999999999999998E-2</v>
      </c>
      <c r="H45" s="12">
        <f>'Centro di rigidezza'!E5</f>
        <v>14.820891497459959</v>
      </c>
      <c r="I45" s="12">
        <f>'Centro di rigidezza'!F5</f>
        <v>12.049754798962388</v>
      </c>
      <c r="J45" s="91">
        <f>B45+D45*I45</f>
        <v>17.288199019195847</v>
      </c>
      <c r="K45" s="3">
        <f>C45+D45*H45</f>
        <v>-3.716434010160162E-3</v>
      </c>
      <c r="L45" s="12">
        <f>E45+G45*I45</f>
        <v>0.92223896595330745</v>
      </c>
      <c r="M45" s="91">
        <f>F45+G45*H45</f>
        <v>14.364940117385698</v>
      </c>
      <c r="N45" s="7"/>
    </row>
    <row r="46" spans="1:14" x14ac:dyDescent="0.25">
      <c r="A46" s="95">
        <v>4</v>
      </c>
      <c r="B46" s="12">
        <v>14.76</v>
      </c>
      <c r="C46" s="12">
        <v>-8.2000000000000003E-2</v>
      </c>
      <c r="D46" s="12">
        <v>6.0000000000000001E-3</v>
      </c>
      <c r="E46" s="2">
        <v>0.34</v>
      </c>
      <c r="F46" s="2">
        <v>11.77</v>
      </c>
      <c r="G46" s="2">
        <v>4.1000000000000002E-2</v>
      </c>
      <c r="H46" s="12">
        <f>'Centro di rigidezza'!E6</f>
        <v>14.820891497459959</v>
      </c>
      <c r="I46" s="12">
        <f>'Centro di rigidezza'!F6</f>
        <v>12.049754798962388</v>
      </c>
      <c r="J46" s="91">
        <f t="shared" ref="J46:J49" si="0">B46+D46*I46</f>
        <v>14.832298528793775</v>
      </c>
      <c r="K46" s="3">
        <f t="shared" ref="K46:K49" si="1">C46+D46*H46</f>
        <v>6.9253489847597577E-3</v>
      </c>
      <c r="L46" s="12">
        <f t="shared" ref="L46:L49" si="2">E46+G46*I46</f>
        <v>0.83403994675745796</v>
      </c>
      <c r="M46" s="91">
        <f t="shared" ref="M46:M49" si="3">F46+G46*H46</f>
        <v>12.377656551395859</v>
      </c>
      <c r="N46" s="7"/>
    </row>
    <row r="47" spans="1:14" x14ac:dyDescent="0.25">
      <c r="A47" s="95">
        <v>3</v>
      </c>
      <c r="B47" s="12">
        <v>11.4</v>
      </c>
      <c r="C47" s="12">
        <v>-0.09</v>
      </c>
      <c r="D47" s="12">
        <v>6.0000000000000001E-3</v>
      </c>
      <c r="E47" s="2">
        <v>0.28000000000000003</v>
      </c>
      <c r="F47" s="2">
        <v>9.1869999999999994</v>
      </c>
      <c r="G47" s="2">
        <v>3.3000000000000002E-2</v>
      </c>
      <c r="H47" s="12">
        <f>'Centro di rigidezza'!E7</f>
        <v>14.820891497459959</v>
      </c>
      <c r="I47" s="12">
        <f>'Centro di rigidezza'!F7</f>
        <v>12.049754798962388</v>
      </c>
      <c r="J47" s="91">
        <f t="shared" si="0"/>
        <v>11.472298528793775</v>
      </c>
      <c r="K47" s="3">
        <f t="shared" si="1"/>
        <v>-1.0746510152402355E-3</v>
      </c>
      <c r="L47" s="12">
        <f t="shared" si="2"/>
        <v>0.67764190836575877</v>
      </c>
      <c r="M47" s="91">
        <f t="shared" si="3"/>
        <v>9.6760894194161775</v>
      </c>
      <c r="N47" s="7"/>
    </row>
    <row r="48" spans="1:14" x14ac:dyDescent="0.25">
      <c r="A48" s="95">
        <v>2</v>
      </c>
      <c r="B48" s="12">
        <v>7.37</v>
      </c>
      <c r="C48" s="12">
        <v>-8.7999999999999995E-2</v>
      </c>
      <c r="D48" s="12">
        <v>6.0000000000000001E-3</v>
      </c>
      <c r="E48" s="2">
        <v>0.19800000000000001</v>
      </c>
      <c r="F48" s="2">
        <v>6.1050000000000004</v>
      </c>
      <c r="G48" s="2">
        <v>2.4E-2</v>
      </c>
      <c r="H48" s="12">
        <f>'Centro di rigidezza'!E8</f>
        <v>14.820891497459959</v>
      </c>
      <c r="I48" s="12">
        <f>'Centro di rigidezza'!F8</f>
        <v>12.049754798962388</v>
      </c>
      <c r="J48" s="91">
        <f t="shared" si="0"/>
        <v>7.4422985287937742</v>
      </c>
      <c r="K48" s="3">
        <f t="shared" si="1"/>
        <v>9.2534898475976624E-4</v>
      </c>
      <c r="L48" s="12">
        <f t="shared" si="2"/>
        <v>0.48719411517509731</v>
      </c>
      <c r="M48" s="91">
        <f t="shared" si="3"/>
        <v>6.4607013959390391</v>
      </c>
      <c r="N48" s="7"/>
    </row>
    <row r="49" spans="1:14" x14ac:dyDescent="0.25">
      <c r="A49" s="95">
        <v>1</v>
      </c>
      <c r="B49" s="12">
        <v>3.1019999999999999</v>
      </c>
      <c r="C49" s="12">
        <v>-6.4000000000000001E-2</v>
      </c>
      <c r="D49" s="12">
        <v>4.0000000000000001E-3</v>
      </c>
      <c r="E49" s="2">
        <v>0.1</v>
      </c>
      <c r="F49" s="2">
        <v>2.7629999999999999</v>
      </c>
      <c r="G49" s="2">
        <v>1.2E-2</v>
      </c>
      <c r="H49" s="12">
        <f>'Centro di rigidezza'!E9</f>
        <v>14.52084337157787</v>
      </c>
      <c r="I49" s="12">
        <f>'Centro di rigidezza'!F9</f>
        <v>12.309637518298331</v>
      </c>
      <c r="J49" s="91">
        <f t="shared" si="0"/>
        <v>3.151238550073193</v>
      </c>
      <c r="K49" s="3">
        <f t="shared" si="1"/>
        <v>-5.9166265136885235E-3</v>
      </c>
      <c r="L49" s="12">
        <f t="shared" si="2"/>
        <v>0.24771565021957997</v>
      </c>
      <c r="M49" s="91">
        <f t="shared" si="3"/>
        <v>2.9372501204589345</v>
      </c>
      <c r="N49" s="7"/>
    </row>
    <row r="52" spans="1:14" x14ac:dyDescent="0.25">
      <c r="A52" s="15" t="s">
        <v>237</v>
      </c>
      <c r="B52" s="15"/>
    </row>
    <row r="53" spans="1:14" x14ac:dyDescent="0.25">
      <c r="A53" s="92" t="s">
        <v>0</v>
      </c>
      <c r="B53" s="92" t="s">
        <v>241</v>
      </c>
      <c r="C53" s="92" t="s">
        <v>242</v>
      </c>
      <c r="D53" s="92" t="s">
        <v>243</v>
      </c>
      <c r="E53" s="92" t="s">
        <v>244</v>
      </c>
    </row>
    <row r="54" spans="1:14" x14ac:dyDescent="0.25">
      <c r="A54" s="2">
        <v>6</v>
      </c>
      <c r="B54" s="12">
        <f>rigidezze!F57</f>
        <v>22.132255912583172</v>
      </c>
      <c r="C54" s="12">
        <f>J44</f>
        <v>18.946279413445975</v>
      </c>
      <c r="D54" s="12">
        <f>rigidezze!F69</f>
        <v>14.747595906238487</v>
      </c>
      <c r="E54" s="12">
        <f>M44</f>
        <v>15.724652146774281</v>
      </c>
    </row>
    <row r="55" spans="1:14" x14ac:dyDescent="0.25">
      <c r="A55" s="2">
        <v>5</v>
      </c>
      <c r="B55" s="12">
        <f>rigidezze!F58</f>
        <v>20.678644886887916</v>
      </c>
      <c r="C55" s="12">
        <f t="shared" ref="C55:C58" si="4">J45</f>
        <v>17.288199019195847</v>
      </c>
      <c r="D55" s="12">
        <f>rigidezze!F70</f>
        <v>13.750831810345728</v>
      </c>
      <c r="E55" s="12">
        <f t="shared" ref="E55:E59" si="5">M45</f>
        <v>14.364940117385698</v>
      </c>
    </row>
    <row r="56" spans="1:14" x14ac:dyDescent="0.25">
      <c r="A56" s="2">
        <v>4</v>
      </c>
      <c r="B56" s="12">
        <f>rigidezze!F59</f>
        <v>17.839666553863051</v>
      </c>
      <c r="C56" s="12">
        <f t="shared" si="4"/>
        <v>14.832298528793775</v>
      </c>
      <c r="D56" s="12">
        <f>rigidezze!F71</f>
        <v>11.982584372485379</v>
      </c>
      <c r="E56" s="12">
        <f t="shared" si="5"/>
        <v>12.377656551395859</v>
      </c>
    </row>
    <row r="57" spans="1:14" x14ac:dyDescent="0.25">
      <c r="A57" s="2">
        <v>3</v>
      </c>
      <c r="B57" s="12">
        <f>rigidezze!F60</f>
        <v>13.827545808230933</v>
      </c>
      <c r="C57" s="12">
        <f t="shared" si="4"/>
        <v>11.472298528793775</v>
      </c>
      <c r="D57" s="12">
        <f>rigidezze!F72</f>
        <v>9.4836494048164255</v>
      </c>
      <c r="E57" s="12">
        <f t="shared" si="5"/>
        <v>9.6760894194161775</v>
      </c>
    </row>
    <row r="58" spans="1:14" x14ac:dyDescent="0.25">
      <c r="A58" s="2">
        <v>2</v>
      </c>
      <c r="B58" s="12">
        <f>rigidezze!F61</f>
        <v>8.9311908560814057</v>
      </c>
      <c r="C58" s="12">
        <f t="shared" si="4"/>
        <v>7.4422985287937742</v>
      </c>
      <c r="D58" s="12">
        <f>rigidezze!F73</f>
        <v>6.4339723437842693</v>
      </c>
      <c r="E58" s="12">
        <f t="shared" si="5"/>
        <v>6.4607013959390391</v>
      </c>
    </row>
    <row r="59" spans="1:14" x14ac:dyDescent="0.25">
      <c r="A59" s="2">
        <v>1</v>
      </c>
      <c r="B59" s="12">
        <f>rigidezze!F62</f>
        <v>3.4395099035043177</v>
      </c>
      <c r="C59" s="12">
        <f>J49</f>
        <v>3.151238550073193</v>
      </c>
      <c r="D59" s="12">
        <f>rigidezze!F74</f>
        <v>3.0134986258343153</v>
      </c>
      <c r="E59" s="12">
        <f t="shared" si="5"/>
        <v>2.9372501204589345</v>
      </c>
    </row>
    <row r="62" spans="1:14" x14ac:dyDescent="0.25">
      <c r="A62" s="92" t="s">
        <v>258</v>
      </c>
      <c r="B62" s="92"/>
      <c r="C62" s="92"/>
      <c r="D62" s="92"/>
    </row>
    <row r="63" spans="1:14" x14ac:dyDescent="0.25">
      <c r="A63" s="92" t="s">
        <v>0</v>
      </c>
      <c r="B63" s="92" t="s">
        <v>256</v>
      </c>
      <c r="C63" s="92" t="s">
        <v>257</v>
      </c>
      <c r="D63" s="93" t="s">
        <v>262</v>
      </c>
    </row>
    <row r="64" spans="1:14" x14ac:dyDescent="0.25">
      <c r="A64" s="2">
        <v>6</v>
      </c>
      <c r="B64" s="12">
        <v>18.899999999999999</v>
      </c>
      <c r="C64" s="12">
        <v>18.850000000000001</v>
      </c>
      <c r="D64" s="12">
        <f t="shared" ref="D64:D69" si="6">C64-B64</f>
        <v>-4.9999999999997158E-2</v>
      </c>
    </row>
    <row r="65" spans="1:4" x14ac:dyDescent="0.25">
      <c r="A65" s="2">
        <v>5</v>
      </c>
      <c r="B65" s="12">
        <v>17.23</v>
      </c>
      <c r="C65" s="12">
        <v>17.12</v>
      </c>
      <c r="D65" s="12">
        <f t="shared" si="6"/>
        <v>-0.10999999999999943</v>
      </c>
    </row>
    <row r="66" spans="1:4" x14ac:dyDescent="0.25">
      <c r="A66" s="2">
        <v>4</v>
      </c>
      <c r="B66" s="12">
        <v>14.75</v>
      </c>
      <c r="C66" s="12">
        <v>14.62</v>
      </c>
      <c r="D66" s="12">
        <f t="shared" si="6"/>
        <v>-0.13000000000000078</v>
      </c>
    </row>
    <row r="67" spans="1:4" x14ac:dyDescent="0.25">
      <c r="A67" s="2">
        <v>3</v>
      </c>
      <c r="B67" s="2">
        <v>11.39</v>
      </c>
      <c r="C67" s="12">
        <v>11.24</v>
      </c>
      <c r="D67" s="12">
        <f t="shared" si="6"/>
        <v>-0.15000000000000036</v>
      </c>
    </row>
    <row r="68" spans="1:4" x14ac:dyDescent="0.25">
      <c r="A68" s="2">
        <v>2</v>
      </c>
      <c r="B68" s="2">
        <v>7.35</v>
      </c>
      <c r="C68" s="12">
        <v>7.2140000000000004</v>
      </c>
      <c r="D68" s="12">
        <f t="shared" si="6"/>
        <v>-0.13599999999999923</v>
      </c>
    </row>
    <row r="69" spans="1:4" x14ac:dyDescent="0.25">
      <c r="A69" s="2">
        <v>1</v>
      </c>
      <c r="B69" s="2">
        <v>3.09</v>
      </c>
      <c r="C69" s="12">
        <v>3</v>
      </c>
      <c r="D69" s="12">
        <f t="shared" si="6"/>
        <v>-8.9999999999999858E-2</v>
      </c>
    </row>
    <row r="70" spans="1:4" x14ac:dyDescent="0.25">
      <c r="A70" s="1"/>
      <c r="B70" s="1"/>
    </row>
    <row r="71" spans="1:4" x14ac:dyDescent="0.25">
      <c r="A71" s="1"/>
      <c r="B71" s="1"/>
    </row>
    <row r="72" spans="1:4" x14ac:dyDescent="0.25">
      <c r="A72" s="92" t="s">
        <v>259</v>
      </c>
      <c r="B72" s="92"/>
      <c r="C72" s="92"/>
      <c r="D72" s="92"/>
    </row>
    <row r="73" spans="1:4" x14ac:dyDescent="0.25">
      <c r="A73" s="92" t="s">
        <v>0</v>
      </c>
      <c r="B73" s="92" t="s">
        <v>260</v>
      </c>
      <c r="C73" s="92" t="s">
        <v>261</v>
      </c>
      <c r="D73" s="93" t="s">
        <v>262</v>
      </c>
    </row>
    <row r="74" spans="1:4" x14ac:dyDescent="0.25">
      <c r="A74" s="77">
        <v>6</v>
      </c>
      <c r="B74" s="77">
        <v>15.01</v>
      </c>
      <c r="C74" s="77">
        <v>16.2</v>
      </c>
      <c r="D74" s="77">
        <f>C74-B74</f>
        <v>1.1899999999999995</v>
      </c>
    </row>
    <row r="75" spans="1:4" x14ac:dyDescent="0.25">
      <c r="A75" s="77">
        <v>5</v>
      </c>
      <c r="B75" s="77">
        <v>13.7</v>
      </c>
      <c r="C75" s="77">
        <v>14.8</v>
      </c>
      <c r="D75" s="77">
        <f t="shared" ref="D75:D78" si="7">C75-B75</f>
        <v>1.1000000000000014</v>
      </c>
    </row>
    <row r="76" spans="1:4" x14ac:dyDescent="0.25">
      <c r="A76" s="77">
        <v>4</v>
      </c>
      <c r="B76" s="77">
        <v>11.78</v>
      </c>
      <c r="C76" s="77">
        <v>12.8</v>
      </c>
      <c r="D76" s="77">
        <f t="shared" si="7"/>
        <v>1.0200000000000014</v>
      </c>
    </row>
    <row r="77" spans="1:4" x14ac:dyDescent="0.25">
      <c r="A77" s="77">
        <v>3</v>
      </c>
      <c r="B77" s="77">
        <v>9.19</v>
      </c>
      <c r="C77" s="77">
        <v>10.048999999999999</v>
      </c>
      <c r="D77" s="77">
        <f t="shared" si="7"/>
        <v>0.85899999999999999</v>
      </c>
    </row>
    <row r="78" spans="1:4" x14ac:dyDescent="0.25">
      <c r="A78" s="77">
        <v>2</v>
      </c>
      <c r="B78" s="77">
        <v>6.11</v>
      </c>
      <c r="C78" s="77">
        <v>6.7169999999999996</v>
      </c>
      <c r="D78" s="77">
        <f t="shared" si="7"/>
        <v>0.60699999999999932</v>
      </c>
    </row>
    <row r="79" spans="1:4" x14ac:dyDescent="0.25">
      <c r="A79" s="77">
        <v>1</v>
      </c>
      <c r="B79" s="77">
        <v>2.75</v>
      </c>
      <c r="C79" s="77">
        <v>3.08</v>
      </c>
      <c r="D79" s="77">
        <f>C79-B79</f>
        <v>0.33000000000000007</v>
      </c>
    </row>
    <row r="83" spans="1:9" x14ac:dyDescent="0.25">
      <c r="A83" s="106" t="s">
        <v>263</v>
      </c>
      <c r="B83" s="106"/>
      <c r="C83" s="104"/>
      <c r="D83" s="104"/>
      <c r="E83" s="104"/>
      <c r="F83" s="104"/>
    </row>
    <row r="84" spans="1:9" x14ac:dyDescent="0.25">
      <c r="A84" s="104" t="s">
        <v>0</v>
      </c>
      <c r="B84" s="104" t="s">
        <v>264</v>
      </c>
      <c r="C84" s="104" t="s">
        <v>265</v>
      </c>
      <c r="D84" s="104" t="s">
        <v>149</v>
      </c>
      <c r="E84" s="104" t="s">
        <v>266</v>
      </c>
      <c r="F84" s="104" t="s">
        <v>267</v>
      </c>
    </row>
    <row r="85" spans="1:9" x14ac:dyDescent="0.25">
      <c r="A85" s="105">
        <v>6</v>
      </c>
      <c r="B85" s="112">
        <f>'masse e forze direzione x'!E2</f>
        <v>461.00917431192659</v>
      </c>
      <c r="C85" s="113">
        <f>'masse e forze direzione x'!E20</f>
        <v>433.74403225079692</v>
      </c>
      <c r="D85" s="113">
        <f>C54</f>
        <v>18.946279413445975</v>
      </c>
      <c r="E85" s="113">
        <f>C85*D85</f>
        <v>8217.835628938321</v>
      </c>
      <c r="F85" s="113">
        <f>B85*(D85^2)/1000</f>
        <v>165.48454639010487</v>
      </c>
    </row>
    <row r="86" spans="1:9" x14ac:dyDescent="0.25">
      <c r="A86" s="105">
        <v>5</v>
      </c>
      <c r="B86" s="112">
        <f>'masse e forze direzione x'!E3</f>
        <v>586.23853211009168</v>
      </c>
      <c r="C86" s="113">
        <f>'masse e forze direzione x'!E21</f>
        <v>460.55847675203273</v>
      </c>
      <c r="D86" s="113">
        <f t="shared" ref="D86:D90" si="8">C55</f>
        <v>17.288199019195847</v>
      </c>
      <c r="E86" s="113">
        <f t="shared" ref="E86:E90" si="9">C86*D86</f>
        <v>7962.2266060668253</v>
      </c>
      <c r="F86" s="113">
        <f t="shared" ref="F86:F90" si="10">B86*(D86^2)/1000</f>
        <v>175.21604255427539</v>
      </c>
    </row>
    <row r="87" spans="1:9" x14ac:dyDescent="0.25">
      <c r="A87" s="105">
        <v>4</v>
      </c>
      <c r="B87" s="112">
        <f>'masse e forze direzione x'!E4</f>
        <v>586.23853211009168</v>
      </c>
      <c r="C87" s="113">
        <f>'masse e forze direzione x'!E22</f>
        <v>369.54991547767895</v>
      </c>
      <c r="D87" s="113">
        <f t="shared" si="8"/>
        <v>14.832298528793775</v>
      </c>
      <c r="E87" s="113">
        <f t="shared" si="9"/>
        <v>5481.2746676554416</v>
      </c>
      <c r="F87" s="113">
        <f t="shared" si="10"/>
        <v>128.97076504091544</v>
      </c>
    </row>
    <row r="88" spans="1:9" x14ac:dyDescent="0.25">
      <c r="A88" s="105">
        <v>3</v>
      </c>
      <c r="B88" s="112">
        <f>'masse e forze direzione x'!E5</f>
        <v>586.23853211009168</v>
      </c>
      <c r="C88" s="113">
        <f>'masse e forze direzione x'!E23</f>
        <v>278.54135420332523</v>
      </c>
      <c r="D88" s="113">
        <f t="shared" si="8"/>
        <v>11.472298528793775</v>
      </c>
      <c r="E88" s="113">
        <f t="shared" si="9"/>
        <v>3195.5095680350337</v>
      </c>
      <c r="F88" s="113">
        <f t="shared" si="10"/>
        <v>77.156983328509227</v>
      </c>
    </row>
    <row r="89" spans="1:9" x14ac:dyDescent="0.25">
      <c r="A89" s="105">
        <v>2</v>
      </c>
      <c r="B89" s="112">
        <f>'masse e forze direzione x'!E6</f>
        <v>586.23853211009168</v>
      </c>
      <c r="C89" s="113">
        <f>'masse e forze direzione x'!E24</f>
        <v>187.53279292897142</v>
      </c>
      <c r="D89" s="113">
        <f t="shared" si="8"/>
        <v>7.4422985287937742</v>
      </c>
      <c r="E89" s="113">
        <f t="shared" si="9"/>
        <v>1395.6750289158715</v>
      </c>
      <c r="F89" s="113">
        <f t="shared" si="10"/>
        <v>32.470466902098472</v>
      </c>
    </row>
    <row r="90" spans="1:9" x14ac:dyDescent="0.25">
      <c r="A90" s="105">
        <v>1</v>
      </c>
      <c r="B90" s="112">
        <f>'masse e forze direzione x'!E7</f>
        <v>481.44750254841995</v>
      </c>
      <c r="C90" s="113">
        <f>'masse e forze direzione x'!E25</f>
        <v>79.270378387195123</v>
      </c>
      <c r="D90" s="113">
        <f t="shared" si="8"/>
        <v>3.151238550073193</v>
      </c>
      <c r="E90" s="113">
        <f t="shared" si="9"/>
        <v>249.79987225261814</v>
      </c>
      <c r="F90" s="113">
        <f t="shared" si="10"/>
        <v>4.7809202526691656</v>
      </c>
    </row>
    <row r="91" spans="1:9" x14ac:dyDescent="0.25">
      <c r="A91" s="104"/>
      <c r="B91" s="104"/>
      <c r="C91" s="104"/>
      <c r="D91" s="104" t="s">
        <v>31</v>
      </c>
      <c r="E91" s="113">
        <f>SUM(E85:E90)</f>
        <v>26502.321371864109</v>
      </c>
      <c r="F91" s="113">
        <f>SUM(F85:F90)</f>
        <v>584.07972446857252</v>
      </c>
      <c r="H91" s="15" t="s">
        <v>213</v>
      </c>
      <c r="I91" s="15"/>
    </row>
    <row r="92" spans="1:9" x14ac:dyDescent="0.25">
      <c r="A92" s="104"/>
      <c r="B92" s="104"/>
      <c r="C92" s="104"/>
      <c r="D92" s="104"/>
      <c r="E92" s="108" t="s">
        <v>268</v>
      </c>
      <c r="F92" s="107">
        <f>2*PI()*SQRT(F91/E91)</f>
        <v>0.93276872398587329</v>
      </c>
      <c r="H92" s="15" t="s">
        <v>273</v>
      </c>
      <c r="I92" s="15">
        <f>'masse e forze direzione x'!B13</f>
        <v>0.90300000000000002</v>
      </c>
    </row>
    <row r="93" spans="1:9" x14ac:dyDescent="0.25">
      <c r="E93" s="15"/>
      <c r="F93" s="15"/>
      <c r="H93" s="15"/>
      <c r="I93" s="15"/>
    </row>
    <row r="97" spans="1:8" x14ac:dyDescent="0.25">
      <c r="A97" s="39" t="s">
        <v>269</v>
      </c>
      <c r="B97" s="39"/>
      <c r="C97" s="39"/>
      <c r="D97" s="39"/>
      <c r="E97" s="39"/>
      <c r="F97" s="39"/>
    </row>
    <row r="98" spans="1:8" x14ac:dyDescent="0.25">
      <c r="A98" s="39" t="s">
        <v>0</v>
      </c>
      <c r="B98" s="39" t="s">
        <v>264</v>
      </c>
      <c r="C98" s="39" t="s">
        <v>270</v>
      </c>
      <c r="D98" s="39" t="s">
        <v>238</v>
      </c>
      <c r="E98" s="39" t="s">
        <v>271</v>
      </c>
      <c r="F98" s="39" t="s">
        <v>272</v>
      </c>
    </row>
    <row r="99" spans="1:8" x14ac:dyDescent="0.25">
      <c r="A99" s="39">
        <v>6</v>
      </c>
      <c r="B99" s="55">
        <f>B85</f>
        <v>461.00917431192659</v>
      </c>
      <c r="C99" s="55">
        <f>'masse e forze direzione y'!E20</f>
        <v>525.75034212217804</v>
      </c>
      <c r="D99" s="55">
        <f>E54</f>
        <v>15.724652146774281</v>
      </c>
      <c r="E99" s="55">
        <f>C99*D99</f>
        <v>8267.2412459188199</v>
      </c>
      <c r="F99" s="55">
        <f>B99*D99^2/1000</f>
        <v>113.99128833153131</v>
      </c>
    </row>
    <row r="100" spans="1:8" x14ac:dyDescent="0.25">
      <c r="A100" s="39">
        <v>5</v>
      </c>
      <c r="B100" s="55">
        <f t="shared" ref="B100:B102" si="11">B86</f>
        <v>586.23853211009168</v>
      </c>
      <c r="C100" s="55">
        <f>'masse e forze direzione y'!E21</f>
        <v>558.25269909337294</v>
      </c>
      <c r="D100" s="55">
        <f t="shared" ref="D100:D104" si="12">E55</f>
        <v>14.364940117385698</v>
      </c>
      <c r="E100" s="55">
        <f t="shared" ref="E100:E104" si="13">C100*D100</f>
        <v>8019.2665928452398</v>
      </c>
      <c r="F100" s="55">
        <f t="shared" ref="F100:F104" si="14">B100*D100^2/1000</f>
        <v>120.97120314138827</v>
      </c>
    </row>
    <row r="101" spans="1:8" x14ac:dyDescent="0.25">
      <c r="A101" s="39">
        <v>4</v>
      </c>
      <c r="B101" s="55">
        <f t="shared" si="11"/>
        <v>586.23853211009168</v>
      </c>
      <c r="C101" s="55">
        <f>'masse e forze direzione y'!E22</f>
        <v>447.93929148809565</v>
      </c>
      <c r="D101" s="55">
        <f t="shared" si="12"/>
        <v>12.377656551395859</v>
      </c>
      <c r="E101" s="55">
        <f t="shared" si="13"/>
        <v>5544.4387059152459</v>
      </c>
      <c r="F101" s="55">
        <f t="shared" si="14"/>
        <v>89.815484320234759</v>
      </c>
    </row>
    <row r="102" spans="1:8" x14ac:dyDescent="0.25">
      <c r="A102" s="39">
        <v>3</v>
      </c>
      <c r="B102" s="55">
        <f t="shared" si="11"/>
        <v>586.23853211009168</v>
      </c>
      <c r="C102" s="55">
        <f>'masse e forze direzione y'!E23</f>
        <v>337.62588388281836</v>
      </c>
      <c r="D102" s="55">
        <f t="shared" si="12"/>
        <v>9.6760894194161775</v>
      </c>
      <c r="E102" s="55">
        <f t="shared" si="13"/>
        <v>3266.8982427595738</v>
      </c>
      <c r="F102" s="55">
        <f t="shared" si="14"/>
        <v>54.887582957038155</v>
      </c>
    </row>
    <row r="103" spans="1:8" x14ac:dyDescent="0.25">
      <c r="A103" s="39">
        <v>2</v>
      </c>
      <c r="B103" s="55">
        <f>B89</f>
        <v>586.23853211009168</v>
      </c>
      <c r="C103" s="55">
        <f>'masse e forze direzione y'!E24</f>
        <v>227.31247627754107</v>
      </c>
      <c r="D103" s="55">
        <f t="shared" si="12"/>
        <v>6.4607013959390391</v>
      </c>
      <c r="E103" s="55">
        <f t="shared" si="13"/>
        <v>1468.5980328006692</v>
      </c>
      <c r="F103" s="55">
        <f t="shared" si="14"/>
        <v>24.469984729417657</v>
      </c>
    </row>
    <row r="104" spans="1:8" x14ac:dyDescent="0.25">
      <c r="A104" s="39">
        <v>1</v>
      </c>
      <c r="B104" s="55">
        <f>B90</f>
        <v>481.44750254841995</v>
      </c>
      <c r="C104" s="55">
        <f>'masse e forze direzione y'!E25</f>
        <v>96.085307135994071</v>
      </c>
      <c r="D104" s="55">
        <f t="shared" si="12"/>
        <v>2.9372501204589345</v>
      </c>
      <c r="E104" s="55">
        <f t="shared" si="13"/>
        <v>282.22657995953233</v>
      </c>
      <c r="F104" s="55">
        <f t="shared" si="14"/>
        <v>4.1536586085476506</v>
      </c>
    </row>
    <row r="105" spans="1:8" x14ac:dyDescent="0.25">
      <c r="A105" s="39"/>
      <c r="B105" s="55"/>
      <c r="C105" s="55"/>
      <c r="D105" s="55" t="s">
        <v>31</v>
      </c>
      <c r="E105" s="55">
        <f>SUM(E99:E104)</f>
        <v>26848.669400199084</v>
      </c>
      <c r="F105" s="55">
        <f>SUM(F99:F104)</f>
        <v>408.28920208815777</v>
      </c>
      <c r="H105" t="s">
        <v>213</v>
      </c>
    </row>
    <row r="106" spans="1:8" x14ac:dyDescent="0.25">
      <c r="A106" s="39"/>
      <c r="B106" s="39"/>
      <c r="C106" s="39"/>
      <c r="D106" s="39"/>
      <c r="E106" s="39" t="s">
        <v>274</v>
      </c>
      <c r="F106" s="111">
        <f>2*PI()*SQRT(F105/E105)</f>
        <v>0.77482287156156693</v>
      </c>
      <c r="H106" s="15">
        <v>0.74199999999999999</v>
      </c>
    </row>
    <row r="107" spans="1:8" x14ac:dyDescent="0.25">
      <c r="A107" s="39"/>
      <c r="B107" s="39"/>
      <c r="C107" s="39"/>
      <c r="D107" s="39"/>
      <c r="E107" s="39"/>
      <c r="F107" s="39"/>
      <c r="H107" s="15"/>
    </row>
    <row r="111" spans="1:8" x14ac:dyDescent="0.25">
      <c r="A111" s="15" t="s">
        <v>275</v>
      </c>
      <c r="B111" s="15"/>
      <c r="C111" s="15" t="s">
        <v>276</v>
      </c>
      <c r="D111" s="15">
        <f>1.38</f>
        <v>1.38</v>
      </c>
    </row>
    <row r="112" spans="1:8" x14ac:dyDescent="0.25">
      <c r="A112" s="15"/>
      <c r="B112" s="15"/>
      <c r="C112" s="15" t="s">
        <v>277</v>
      </c>
      <c r="D112" s="15">
        <v>1.4</v>
      </c>
    </row>
    <row r="113" spans="1:4" x14ac:dyDescent="0.25">
      <c r="A113" s="9" t="s">
        <v>278</v>
      </c>
      <c r="B113" s="9" t="s">
        <v>279</v>
      </c>
      <c r="C113" s="9" t="s">
        <v>280</v>
      </c>
      <c r="D113" s="9" t="s">
        <v>151</v>
      </c>
    </row>
    <row r="114" spans="1:4" x14ac:dyDescent="0.25">
      <c r="A114" s="9">
        <v>6</v>
      </c>
      <c r="B114" s="109">
        <f t="shared" ref="B114:B119" si="15">C85</f>
        <v>433.74403225079692</v>
      </c>
      <c r="C114" s="8">
        <f>$D$111</f>
        <v>1.38</v>
      </c>
      <c r="D114" s="109">
        <f>B114*C114</f>
        <v>598.56676450609973</v>
      </c>
    </row>
    <row r="115" spans="1:4" x14ac:dyDescent="0.25">
      <c r="A115" s="9">
        <v>5</v>
      </c>
      <c r="B115" s="109">
        <f t="shared" si="15"/>
        <v>460.55847675203273</v>
      </c>
      <c r="C115" s="8">
        <f t="shared" ref="C115:C119" si="16">$D$111</f>
        <v>1.38</v>
      </c>
      <c r="D115" s="109">
        <f t="shared" ref="D115:D119" si="17">B115*C115</f>
        <v>635.57069791780509</v>
      </c>
    </row>
    <row r="116" spans="1:4" x14ac:dyDescent="0.25">
      <c r="A116" s="9">
        <v>4</v>
      </c>
      <c r="B116" s="109">
        <f t="shared" si="15"/>
        <v>369.54991547767895</v>
      </c>
      <c r="C116" s="8">
        <f t="shared" si="16"/>
        <v>1.38</v>
      </c>
      <c r="D116" s="109">
        <f t="shared" si="17"/>
        <v>509.97888335919691</v>
      </c>
    </row>
    <row r="117" spans="1:4" x14ac:dyDescent="0.25">
      <c r="A117" s="9">
        <v>3</v>
      </c>
      <c r="B117" s="109">
        <f t="shared" si="15"/>
        <v>278.54135420332523</v>
      </c>
      <c r="C117" s="8">
        <f t="shared" si="16"/>
        <v>1.38</v>
      </c>
      <c r="D117" s="109">
        <f t="shared" si="17"/>
        <v>384.38706880058879</v>
      </c>
    </row>
    <row r="118" spans="1:4" x14ac:dyDescent="0.25">
      <c r="A118" s="9">
        <v>2</v>
      </c>
      <c r="B118" s="109">
        <f t="shared" si="15"/>
        <v>187.53279292897142</v>
      </c>
      <c r="C118" s="8">
        <f t="shared" si="16"/>
        <v>1.38</v>
      </c>
      <c r="D118" s="109">
        <f t="shared" si="17"/>
        <v>258.79525424198056</v>
      </c>
    </row>
    <row r="119" spans="1:4" x14ac:dyDescent="0.25">
      <c r="A119" s="9">
        <v>1</v>
      </c>
      <c r="B119" s="109">
        <f t="shared" si="15"/>
        <v>79.270378387195123</v>
      </c>
      <c r="C119" s="8">
        <f t="shared" si="16"/>
        <v>1.38</v>
      </c>
      <c r="D119" s="109">
        <f t="shared" si="17"/>
        <v>109.39312217432926</v>
      </c>
    </row>
    <row r="122" spans="1:4" x14ac:dyDescent="0.25">
      <c r="A122" s="8" t="s">
        <v>278</v>
      </c>
      <c r="B122" s="8" t="s">
        <v>281</v>
      </c>
      <c r="C122" s="8" t="s">
        <v>280</v>
      </c>
      <c r="D122" s="8" t="s">
        <v>151</v>
      </c>
    </row>
    <row r="123" spans="1:4" x14ac:dyDescent="0.25">
      <c r="A123" s="8">
        <v>6</v>
      </c>
      <c r="B123" s="109">
        <f>C99</f>
        <v>525.75034212217804</v>
      </c>
      <c r="C123" s="8">
        <f>$D$112</f>
        <v>1.4</v>
      </c>
      <c r="D123" s="110">
        <f>B123*C123</f>
        <v>736.05047897104919</v>
      </c>
    </row>
    <row r="124" spans="1:4" x14ac:dyDescent="0.25">
      <c r="A124" s="8">
        <v>5</v>
      </c>
      <c r="B124" s="109">
        <f t="shared" ref="B124:B128" si="18">C100</f>
        <v>558.25269909337294</v>
      </c>
      <c r="C124" s="8">
        <f t="shared" ref="C124:C128" si="19">$D$112</f>
        <v>1.4</v>
      </c>
      <c r="D124" s="110">
        <f t="shared" ref="D124:D128" si="20">B124*C124</f>
        <v>781.55377873072212</v>
      </c>
    </row>
    <row r="125" spans="1:4" x14ac:dyDescent="0.25">
      <c r="A125" s="8">
        <v>4</v>
      </c>
      <c r="B125" s="109">
        <f t="shared" si="18"/>
        <v>447.93929148809565</v>
      </c>
      <c r="C125" s="8">
        <f t="shared" si="19"/>
        <v>1.4</v>
      </c>
      <c r="D125" s="110">
        <f t="shared" si="20"/>
        <v>627.11500808333392</v>
      </c>
    </row>
    <row r="126" spans="1:4" x14ac:dyDescent="0.25">
      <c r="A126" s="8">
        <v>3</v>
      </c>
      <c r="B126" s="109">
        <f t="shared" si="18"/>
        <v>337.62588388281836</v>
      </c>
      <c r="C126" s="8">
        <f t="shared" si="19"/>
        <v>1.4</v>
      </c>
      <c r="D126" s="110">
        <f t="shared" si="20"/>
        <v>472.67623743594567</v>
      </c>
    </row>
    <row r="127" spans="1:4" x14ac:dyDescent="0.25">
      <c r="A127" s="8">
        <v>2</v>
      </c>
      <c r="B127" s="109">
        <f t="shared" si="18"/>
        <v>227.31247627754107</v>
      </c>
      <c r="C127" s="8">
        <f t="shared" si="19"/>
        <v>1.4</v>
      </c>
      <c r="D127" s="110">
        <f t="shared" si="20"/>
        <v>318.23746678855747</v>
      </c>
    </row>
    <row r="128" spans="1:4" x14ac:dyDescent="0.25">
      <c r="A128" s="8">
        <v>1</v>
      </c>
      <c r="B128" s="109">
        <f t="shared" si="18"/>
        <v>96.085307135994071</v>
      </c>
      <c r="C128" s="8">
        <f t="shared" si="19"/>
        <v>1.4</v>
      </c>
      <c r="D128" s="110">
        <f t="shared" si="20"/>
        <v>134.5194299903917</v>
      </c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="106" zoomScaleNormal="106" workbookViewId="0">
      <selection activeCell="E39" sqref="E39"/>
    </sheetView>
  </sheetViews>
  <sheetFormatPr defaultRowHeight="15" x14ac:dyDescent="0.25"/>
  <cols>
    <col min="3" max="3" width="18.85546875" customWidth="1"/>
    <col min="4" max="4" width="18.7109375" customWidth="1"/>
    <col min="8" max="8" width="12.42578125" customWidth="1"/>
    <col min="9" max="9" width="17.5703125" customWidth="1"/>
    <col min="10" max="10" width="22.5703125" customWidth="1"/>
  </cols>
  <sheetData>
    <row r="1" spans="1:9" x14ac:dyDescent="0.25">
      <c r="A1" s="15" t="s">
        <v>212</v>
      </c>
      <c r="B1" s="15"/>
    </row>
    <row r="2" spans="1:9" x14ac:dyDescent="0.25">
      <c r="A2" s="7"/>
      <c r="B2" s="7" t="s">
        <v>216</v>
      </c>
      <c r="C2" s="7"/>
      <c r="G2" s="2"/>
      <c r="H2" s="2" t="s">
        <v>218</v>
      </c>
      <c r="I2" s="2"/>
    </row>
    <row r="3" spans="1:9" x14ac:dyDescent="0.25">
      <c r="A3" s="7" t="s">
        <v>0</v>
      </c>
      <c r="B3" s="7" t="s">
        <v>213</v>
      </c>
      <c r="C3" s="2" t="s">
        <v>217</v>
      </c>
      <c r="G3" s="2" t="s">
        <v>0</v>
      </c>
      <c r="H3" s="2" t="s">
        <v>213</v>
      </c>
      <c r="I3" s="2" t="s">
        <v>217</v>
      </c>
    </row>
    <row r="4" spans="1:9" x14ac:dyDescent="0.25">
      <c r="A4" s="2">
        <v>6</v>
      </c>
      <c r="B4" s="2">
        <f>'bilanci rigi IV impalcato'!M37</f>
        <v>120.49000000000001</v>
      </c>
      <c r="C4" s="12">
        <v>85.01</v>
      </c>
      <c r="G4" s="2">
        <v>6</v>
      </c>
      <c r="H4" s="2">
        <f>'bilanci rigi IV impalcato'!M32</f>
        <v>23.669999999999998</v>
      </c>
      <c r="I4" s="12">
        <v>19.143999999999998</v>
      </c>
    </row>
    <row r="5" spans="1:9" x14ac:dyDescent="0.25">
      <c r="A5" s="2">
        <v>5</v>
      </c>
      <c r="B5" s="2">
        <f>'bilanc.rigidezze I'!$M$37</f>
        <v>133.1</v>
      </c>
      <c r="C5" s="12">
        <v>123.943</v>
      </c>
      <c r="G5" s="2">
        <v>5</v>
      </c>
      <c r="H5" s="2">
        <f>'bilanc.rigidezze I'!$M$32</f>
        <v>21.04</v>
      </c>
      <c r="I5" s="12">
        <v>19.844999999999999</v>
      </c>
    </row>
    <row r="6" spans="1:9" x14ac:dyDescent="0.25">
      <c r="A6" s="2">
        <v>4</v>
      </c>
      <c r="B6" s="2">
        <f>'bilanc.rigidezze I'!$M$37</f>
        <v>133.1</v>
      </c>
      <c r="C6" s="12">
        <v>127.11</v>
      </c>
      <c r="G6" s="2">
        <v>4</v>
      </c>
      <c r="H6" s="2">
        <f>'bilanc.rigidezze I'!$M$32</f>
        <v>21.04</v>
      </c>
      <c r="I6" s="2">
        <v>20.88</v>
      </c>
    </row>
    <row r="7" spans="1:9" x14ac:dyDescent="0.25">
      <c r="A7" s="2">
        <v>3</v>
      </c>
      <c r="B7" s="2">
        <f>'bilanc.rigidezze I'!$M$37</f>
        <v>133.1</v>
      </c>
      <c r="C7" s="12">
        <v>129.41</v>
      </c>
      <c r="G7" s="2">
        <v>3</v>
      </c>
      <c r="H7" s="2">
        <f>'bilanc.rigidezze I'!$M$32</f>
        <v>21.04</v>
      </c>
      <c r="I7" s="12">
        <v>21.026</v>
      </c>
    </row>
    <row r="8" spans="1:9" x14ac:dyDescent="0.25">
      <c r="A8" s="2">
        <v>2</v>
      </c>
      <c r="B8" s="2">
        <f>'bilanc.rigidezze I'!$M$37</f>
        <v>133.1</v>
      </c>
      <c r="C8" s="12">
        <v>136.93</v>
      </c>
      <c r="G8" s="2">
        <v>2</v>
      </c>
      <c r="H8" s="2">
        <f>'bilanc.rigidezze I'!$M$32</f>
        <v>21.04</v>
      </c>
      <c r="I8" s="2">
        <v>22.11</v>
      </c>
    </row>
    <row r="9" spans="1:9" x14ac:dyDescent="0.25">
      <c r="A9" s="2">
        <v>1</v>
      </c>
      <c r="B9" s="2">
        <f>'bilanc.rigid piano interrato'!M37</f>
        <v>211.31</v>
      </c>
      <c r="C9" s="12">
        <v>190.68</v>
      </c>
      <c r="G9" s="2">
        <v>1</v>
      </c>
      <c r="H9" s="2">
        <f>'bilanc.rigid piano interrato'!M32</f>
        <v>35.56</v>
      </c>
      <c r="I9" s="2">
        <v>32.9</v>
      </c>
    </row>
    <row r="10" spans="1:9" x14ac:dyDescent="0.25">
      <c r="C10" s="16"/>
    </row>
    <row r="11" spans="1:9" x14ac:dyDescent="0.25">
      <c r="A11" s="2"/>
      <c r="B11" s="2" t="s">
        <v>219</v>
      </c>
      <c r="C11" s="2"/>
      <c r="G11" s="2"/>
      <c r="H11" s="2" t="s">
        <v>220</v>
      </c>
      <c r="I11" s="2"/>
    </row>
    <row r="12" spans="1:9" x14ac:dyDescent="0.25">
      <c r="A12" s="2" t="s">
        <v>0</v>
      </c>
      <c r="B12" s="2" t="s">
        <v>213</v>
      </c>
      <c r="C12" s="2" t="s">
        <v>217</v>
      </c>
      <c r="G12" s="2" t="s">
        <v>0</v>
      </c>
      <c r="H12" s="2" t="s">
        <v>213</v>
      </c>
      <c r="I12" s="2" t="s">
        <v>217</v>
      </c>
    </row>
    <row r="13" spans="1:9" x14ac:dyDescent="0.25">
      <c r="A13" s="2">
        <v>6</v>
      </c>
      <c r="B13" s="2">
        <f>'bilanci rigi IV impalcato'!M27</f>
        <v>24.069999999999997</v>
      </c>
      <c r="C13" s="12">
        <v>19.175999999999998</v>
      </c>
      <c r="G13" s="2">
        <v>6</v>
      </c>
      <c r="H13" s="2">
        <f>'bilanci rigi IV impalcato'!M22</f>
        <v>66.03</v>
      </c>
      <c r="I13" s="2">
        <v>41.029000000000003</v>
      </c>
    </row>
    <row r="14" spans="1:9" x14ac:dyDescent="0.25">
      <c r="A14" s="2">
        <v>5</v>
      </c>
      <c r="B14" s="2">
        <f>'bilanc.rigidezze I'!$M$27</f>
        <v>21.04</v>
      </c>
      <c r="C14" s="2">
        <v>19.850000000000001</v>
      </c>
      <c r="G14" s="2">
        <v>5</v>
      </c>
      <c r="H14" s="2">
        <f>'bilanc.rigidezze I'!$M$22</f>
        <v>71.5</v>
      </c>
      <c r="I14" s="2">
        <v>61.92</v>
      </c>
    </row>
    <row r="15" spans="1:9" x14ac:dyDescent="0.25">
      <c r="A15" s="2">
        <v>4</v>
      </c>
      <c r="B15" s="2">
        <f>'bilanc.rigidezze I'!$M$27</f>
        <v>21.04</v>
      </c>
      <c r="C15" s="2">
        <v>20.88</v>
      </c>
      <c r="G15" s="2">
        <v>4</v>
      </c>
      <c r="H15" s="2">
        <f>'bilanc.rigidezze I'!$M$22</f>
        <v>71.5</v>
      </c>
      <c r="I15" s="2">
        <v>64.97</v>
      </c>
    </row>
    <row r="16" spans="1:9" x14ac:dyDescent="0.25">
      <c r="A16" s="2">
        <v>3</v>
      </c>
      <c r="B16" s="2">
        <f>'bilanc.rigidezze I'!$M$27</f>
        <v>21.04</v>
      </c>
      <c r="C16" s="12">
        <v>21.026</v>
      </c>
      <c r="G16" s="2">
        <v>3</v>
      </c>
      <c r="H16" s="2">
        <f>'bilanc.rigidezze I'!$M$22</f>
        <v>71.5</v>
      </c>
      <c r="I16" s="2">
        <v>66.8</v>
      </c>
    </row>
    <row r="17" spans="1:9" x14ac:dyDescent="0.25">
      <c r="A17" s="2">
        <v>2</v>
      </c>
      <c r="B17" s="2">
        <f>'bilanc.rigidezze I'!$M$27</f>
        <v>21.04</v>
      </c>
      <c r="C17" s="2">
        <v>22.15</v>
      </c>
      <c r="G17" s="2">
        <v>2</v>
      </c>
      <c r="H17" s="2">
        <f>'bilanc.rigidezze I'!$M$22</f>
        <v>71.5</v>
      </c>
      <c r="I17" s="2">
        <v>71.36</v>
      </c>
    </row>
    <row r="18" spans="1:9" x14ac:dyDescent="0.25">
      <c r="A18" s="2">
        <v>1</v>
      </c>
      <c r="B18" s="2">
        <f>'bilanc.rigid piano interrato'!M27</f>
        <v>35.56</v>
      </c>
      <c r="C18" s="2">
        <v>32.82</v>
      </c>
      <c r="G18" s="2">
        <v>1</v>
      </c>
      <c r="H18" s="2">
        <f>'bilanc.rigid piano interrato'!M22</f>
        <v>122.25</v>
      </c>
      <c r="I18" s="2">
        <v>106.51</v>
      </c>
    </row>
    <row r="21" spans="1:9" x14ac:dyDescent="0.25">
      <c r="A21" s="2"/>
      <c r="B21" s="2" t="s">
        <v>221</v>
      </c>
      <c r="C21" s="2"/>
      <c r="G21" s="2"/>
      <c r="H21" s="2" t="s">
        <v>222</v>
      </c>
      <c r="I21" s="2"/>
    </row>
    <row r="22" spans="1:9" x14ac:dyDescent="0.25">
      <c r="A22" s="2" t="s">
        <v>0</v>
      </c>
      <c r="B22" s="2" t="s">
        <v>213</v>
      </c>
      <c r="C22" s="2" t="s">
        <v>217</v>
      </c>
      <c r="G22" s="2" t="s">
        <v>0</v>
      </c>
      <c r="H22" s="2" t="s">
        <v>213</v>
      </c>
      <c r="I22" s="2" t="s">
        <v>217</v>
      </c>
    </row>
    <row r="23" spans="1:9" x14ac:dyDescent="0.25">
      <c r="A23" s="2">
        <v>6</v>
      </c>
      <c r="B23" s="2">
        <f>'bilanci rigi IV impalcato'!M19</f>
        <v>66.03</v>
      </c>
      <c r="C23" s="2">
        <v>40.72</v>
      </c>
      <c r="G23" s="2">
        <v>6</v>
      </c>
      <c r="H23" s="2">
        <f>'bilanci rigi IV impalcato'!M14</f>
        <v>13.049999999999999</v>
      </c>
      <c r="I23" s="2">
        <v>9.7899999999999991</v>
      </c>
    </row>
    <row r="24" spans="1:9" x14ac:dyDescent="0.25">
      <c r="A24" s="2">
        <v>5</v>
      </c>
      <c r="B24" s="12">
        <f>'bilanc.rigidezze I'!$M$19</f>
        <v>71.5</v>
      </c>
      <c r="C24" s="2">
        <v>61.72</v>
      </c>
      <c r="G24" s="2">
        <v>5</v>
      </c>
      <c r="H24" s="2">
        <f>'bilanc.rigidezze I'!$M$14</f>
        <v>11.24</v>
      </c>
      <c r="I24" s="2">
        <v>10.220000000000001</v>
      </c>
    </row>
    <row r="25" spans="1:9" x14ac:dyDescent="0.25">
      <c r="A25" s="2">
        <v>4</v>
      </c>
      <c r="B25" s="12">
        <f>'bilanc.rigidezze I'!$M$19</f>
        <v>71.5</v>
      </c>
      <c r="C25" s="2">
        <v>64.89</v>
      </c>
      <c r="G25" s="2">
        <v>4</v>
      </c>
      <c r="H25" s="2">
        <f>'bilanc.rigidezze I'!$M$14</f>
        <v>11.24</v>
      </c>
      <c r="I25" s="2">
        <v>10.87</v>
      </c>
    </row>
    <row r="26" spans="1:9" x14ac:dyDescent="0.25">
      <c r="A26" s="2">
        <v>3</v>
      </c>
      <c r="B26" s="12">
        <f>'bilanc.rigidezze I'!$M$19</f>
        <v>71.5</v>
      </c>
      <c r="C26" s="2">
        <v>66.8</v>
      </c>
      <c r="G26" s="2">
        <v>3</v>
      </c>
      <c r="H26" s="2">
        <f>'bilanc.rigidezze I'!$M$14</f>
        <v>11.24</v>
      </c>
      <c r="I26" s="2">
        <v>10.98</v>
      </c>
    </row>
    <row r="27" spans="1:9" x14ac:dyDescent="0.25">
      <c r="A27" s="2">
        <v>2</v>
      </c>
      <c r="B27" s="12">
        <f>'bilanc.rigidezze I'!$M$19</f>
        <v>71.5</v>
      </c>
      <c r="C27" s="12">
        <v>71.477999999999994</v>
      </c>
      <c r="G27" s="2">
        <v>2</v>
      </c>
      <c r="H27" s="2">
        <f>'bilanc.rigidezze I'!$M$14</f>
        <v>11.24</v>
      </c>
      <c r="I27" s="12">
        <v>11.617000000000001</v>
      </c>
    </row>
    <row r="28" spans="1:9" x14ac:dyDescent="0.25">
      <c r="A28" s="2">
        <v>1</v>
      </c>
      <c r="B28" s="2">
        <f>'bilanc.rigid piano interrato'!M19</f>
        <v>122.25</v>
      </c>
      <c r="C28" s="2">
        <v>106.45</v>
      </c>
      <c r="G28" s="2">
        <v>1</v>
      </c>
      <c r="H28" s="2">
        <f>'bilanc.rigid piano interrato'!M14</f>
        <v>20.28</v>
      </c>
      <c r="I28" s="12">
        <v>18.414000000000001</v>
      </c>
    </row>
    <row r="31" spans="1:9" x14ac:dyDescent="0.25">
      <c r="A31" s="2"/>
      <c r="B31" s="2" t="s">
        <v>223</v>
      </c>
      <c r="C31" s="2"/>
    </row>
    <row r="32" spans="1:9" x14ac:dyDescent="0.25">
      <c r="A32" s="2" t="s">
        <v>0</v>
      </c>
      <c r="B32" s="2" t="s">
        <v>213</v>
      </c>
      <c r="C32" s="2" t="s">
        <v>217</v>
      </c>
    </row>
    <row r="33" spans="1:3" x14ac:dyDescent="0.25">
      <c r="A33" s="2">
        <v>6</v>
      </c>
      <c r="B33" s="2">
        <f>'bilanci rigi IV impalcato'!M9</f>
        <v>66.03</v>
      </c>
      <c r="C33" s="12">
        <v>40.957000000000001</v>
      </c>
    </row>
    <row r="34" spans="1:3" x14ac:dyDescent="0.25">
      <c r="A34" s="2">
        <v>5</v>
      </c>
      <c r="B34" s="2">
        <f>'bilanc.rigidezze I'!$M$9</f>
        <v>71.5</v>
      </c>
      <c r="C34" s="12">
        <v>61.78</v>
      </c>
    </row>
    <row r="35" spans="1:3" x14ac:dyDescent="0.25">
      <c r="A35" s="2">
        <v>4</v>
      </c>
      <c r="B35" s="2">
        <f>'bilanc.rigidezze I'!$M$9</f>
        <v>71.5</v>
      </c>
      <c r="C35" s="12">
        <v>64.885000000000005</v>
      </c>
    </row>
    <row r="36" spans="1:3" x14ac:dyDescent="0.25">
      <c r="A36" s="2">
        <v>3</v>
      </c>
      <c r="B36" s="2">
        <f>'bilanc.rigidezze I'!$M$9</f>
        <v>71.5</v>
      </c>
      <c r="C36" s="12">
        <v>66.8</v>
      </c>
    </row>
    <row r="37" spans="1:3" x14ac:dyDescent="0.25">
      <c r="A37" s="2">
        <v>2</v>
      </c>
      <c r="B37" s="2">
        <f>'bilanc.rigidezze I'!$M$9</f>
        <v>71.5</v>
      </c>
      <c r="C37" s="12">
        <v>71.733999999999995</v>
      </c>
    </row>
    <row r="38" spans="1:3" x14ac:dyDescent="0.25">
      <c r="A38" s="2">
        <v>1</v>
      </c>
      <c r="B38" s="2">
        <f>'bilanc.rigid piano interrato'!M9</f>
        <v>122.25</v>
      </c>
      <c r="C38" s="12">
        <v>105.825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9"/>
  <sheetViews>
    <sheetView zoomScale="87" zoomScaleNormal="87" workbookViewId="0">
      <selection activeCell="D28" sqref="D28"/>
    </sheetView>
  </sheetViews>
  <sheetFormatPr defaultRowHeight="15" x14ac:dyDescent="0.25"/>
  <cols>
    <col min="2" max="2" width="15.28515625" customWidth="1"/>
    <col min="3" max="3" width="18.5703125" customWidth="1"/>
    <col min="4" max="4" width="28.7109375" customWidth="1"/>
    <col min="7" max="7" width="12.28515625" customWidth="1"/>
    <col min="8" max="8" width="11.28515625" customWidth="1"/>
    <col min="9" max="9" width="21.28515625" customWidth="1"/>
    <col min="10" max="10" width="22.7109375" customWidth="1"/>
  </cols>
  <sheetData>
    <row r="2" spans="1:9" x14ac:dyDescent="0.25">
      <c r="A2" s="103"/>
      <c r="B2" s="103" t="s">
        <v>224</v>
      </c>
      <c r="C2" s="103"/>
      <c r="G2" s="103"/>
      <c r="H2" s="103" t="s">
        <v>225</v>
      </c>
      <c r="I2" s="103"/>
    </row>
    <row r="3" spans="1:9" x14ac:dyDescent="0.25">
      <c r="A3" s="103" t="s">
        <v>0</v>
      </c>
      <c r="B3" s="103" t="s">
        <v>213</v>
      </c>
      <c r="C3" s="103" t="s">
        <v>217</v>
      </c>
      <c r="G3" s="103" t="s">
        <v>0</v>
      </c>
      <c r="H3" s="103" t="s">
        <v>213</v>
      </c>
      <c r="I3" s="103" t="s">
        <v>217</v>
      </c>
    </row>
    <row r="4" spans="1:9" x14ac:dyDescent="0.25">
      <c r="A4" s="2">
        <v>6</v>
      </c>
      <c r="B4" s="2">
        <f>'bilanci rigi IV impalcato'!C79</f>
        <v>88.86</v>
      </c>
      <c r="C4" s="12">
        <v>62.29</v>
      </c>
      <c r="G4" s="2">
        <v>6</v>
      </c>
      <c r="H4" s="2">
        <f>'bilanci rigi IV impalcato'!E79</f>
        <v>51.22</v>
      </c>
      <c r="I4" s="12">
        <v>30.02</v>
      </c>
    </row>
    <row r="5" spans="1:9" x14ac:dyDescent="0.25">
      <c r="A5" s="2">
        <v>5</v>
      </c>
      <c r="B5" s="12">
        <f>'bilanc.rigidezze I'!$C$79</f>
        <v>104.68</v>
      </c>
      <c r="C5" s="12">
        <v>90.6</v>
      </c>
      <c r="G5" s="2">
        <v>5</v>
      </c>
      <c r="H5" s="12">
        <f>'bilanc.rigidezze I'!$E$79</f>
        <v>52.03</v>
      </c>
      <c r="I5" s="12">
        <v>41.87</v>
      </c>
    </row>
    <row r="6" spans="1:9" x14ac:dyDescent="0.25">
      <c r="A6" s="2">
        <v>4</v>
      </c>
      <c r="B6" s="12">
        <f>'bilanc.rigidezze I'!$C$79</f>
        <v>104.68</v>
      </c>
      <c r="C6" s="12">
        <v>94.36</v>
      </c>
      <c r="G6" s="2">
        <v>4</v>
      </c>
      <c r="H6" s="12">
        <f>'bilanc.rigidezze I'!$E$79</f>
        <v>52.03</v>
      </c>
      <c r="I6" s="12">
        <v>46.814999999999998</v>
      </c>
    </row>
    <row r="7" spans="1:9" x14ac:dyDescent="0.25">
      <c r="A7" s="2">
        <v>3</v>
      </c>
      <c r="B7" s="12">
        <f>'bilanc.rigidezze I'!$C$79</f>
        <v>104.68</v>
      </c>
      <c r="C7" s="12">
        <v>96.75</v>
      </c>
      <c r="G7" s="2">
        <v>3</v>
      </c>
      <c r="H7" s="12">
        <f>'bilanc.rigidezze I'!$E$79</f>
        <v>52.03</v>
      </c>
      <c r="I7" s="12">
        <v>48.98</v>
      </c>
    </row>
    <row r="8" spans="1:9" x14ac:dyDescent="0.25">
      <c r="A8" s="2">
        <v>2</v>
      </c>
      <c r="B8" s="12">
        <f>'bilanc.rigidezze I'!$C$79</f>
        <v>104.68</v>
      </c>
      <c r="C8" s="12">
        <v>101.04</v>
      </c>
      <c r="G8" s="2">
        <v>2</v>
      </c>
      <c r="H8" s="12">
        <f>'bilanc.rigidezze I'!$E$79</f>
        <v>52.03</v>
      </c>
      <c r="I8" s="12">
        <v>48.784999999999997</v>
      </c>
    </row>
    <row r="9" spans="1:9" x14ac:dyDescent="0.25">
      <c r="A9" s="2">
        <v>1</v>
      </c>
      <c r="B9" s="2">
        <f>'bilanc.rigid piano interrato'!C79</f>
        <v>125.48</v>
      </c>
      <c r="C9" s="12">
        <v>119.11</v>
      </c>
      <c r="G9" s="2">
        <v>1</v>
      </c>
      <c r="H9" s="2">
        <f>'bilanc.rigid piano interrato'!E79</f>
        <v>88.350000000000009</v>
      </c>
      <c r="I9" s="12">
        <v>88.2</v>
      </c>
    </row>
    <row r="12" spans="1:9" x14ac:dyDescent="0.25">
      <c r="A12" s="102"/>
      <c r="B12" s="102" t="s">
        <v>226</v>
      </c>
      <c r="C12" s="102"/>
      <c r="G12" s="101"/>
      <c r="H12" s="101"/>
      <c r="I12" s="101"/>
    </row>
    <row r="13" spans="1:9" x14ac:dyDescent="0.25">
      <c r="A13" s="102" t="s">
        <v>0</v>
      </c>
      <c r="B13" s="102" t="s">
        <v>213</v>
      </c>
      <c r="C13" s="102" t="s">
        <v>217</v>
      </c>
      <c r="G13" s="102"/>
      <c r="H13" s="102" t="s">
        <v>227</v>
      </c>
      <c r="I13" s="102"/>
    </row>
    <row r="14" spans="1:9" x14ac:dyDescent="0.25">
      <c r="A14" s="2">
        <v>6</v>
      </c>
      <c r="B14" s="7">
        <f>'bilanci rigi IV impalcato'!G79</f>
        <v>145.59</v>
      </c>
      <c r="C14" s="2">
        <v>110.42</v>
      </c>
      <c r="G14" s="102" t="s">
        <v>0</v>
      </c>
      <c r="H14" s="102" t="s">
        <v>213</v>
      </c>
      <c r="I14" s="102" t="s">
        <v>217</v>
      </c>
    </row>
    <row r="15" spans="1:9" x14ac:dyDescent="0.25">
      <c r="A15" s="2">
        <v>5</v>
      </c>
      <c r="B15" s="90">
        <f>'bilanc.rigidezze I'!$G$79</f>
        <v>170.8</v>
      </c>
      <c r="C15" s="2">
        <v>151.66999999999999</v>
      </c>
      <c r="G15" s="2">
        <v>6</v>
      </c>
      <c r="H15" s="2">
        <f>'bilanci rigi IV impalcato'!I79</f>
        <v>134.08000000000001</v>
      </c>
      <c r="I15" s="2">
        <v>91.82</v>
      </c>
    </row>
    <row r="16" spans="1:9" x14ac:dyDescent="0.25">
      <c r="A16" s="2">
        <v>4</v>
      </c>
      <c r="B16" s="90">
        <f>'bilanc.rigidezze I'!$G$79</f>
        <v>170.8</v>
      </c>
      <c r="C16" s="2">
        <v>155.53</v>
      </c>
      <c r="G16" s="2">
        <v>5</v>
      </c>
      <c r="H16" s="12">
        <f>'bilanc.rigidezze I'!$I$79</f>
        <v>158.09000000000003</v>
      </c>
      <c r="I16" s="2">
        <v>130.22999999999999</v>
      </c>
    </row>
    <row r="17" spans="1:9" x14ac:dyDescent="0.25">
      <c r="A17" s="2">
        <v>3</v>
      </c>
      <c r="B17" s="90">
        <f>'bilanc.rigidezze I'!$G$79</f>
        <v>170.8</v>
      </c>
      <c r="C17" s="12">
        <v>157.92400000000001</v>
      </c>
      <c r="G17" s="2">
        <v>4</v>
      </c>
      <c r="H17" s="12">
        <f>'bilanc.rigidezze I'!$I$79</f>
        <v>158.09000000000003</v>
      </c>
      <c r="I17" s="2">
        <v>135.19999999999999</v>
      </c>
    </row>
    <row r="18" spans="1:9" x14ac:dyDescent="0.25">
      <c r="A18" s="2">
        <v>2</v>
      </c>
      <c r="B18" s="90">
        <f>'bilanc.rigidezze I'!$G$79</f>
        <v>170.8</v>
      </c>
      <c r="C18" s="2">
        <v>162.53</v>
      </c>
      <c r="G18" s="2">
        <v>3</v>
      </c>
      <c r="H18" s="12">
        <f>'bilanc.rigidezze I'!$I$79</f>
        <v>158.09000000000003</v>
      </c>
      <c r="I18" s="2">
        <v>138.1</v>
      </c>
    </row>
    <row r="19" spans="1:9" x14ac:dyDescent="0.25">
      <c r="A19" s="2">
        <v>1</v>
      </c>
      <c r="B19" s="7">
        <f>'bilanc.rigid piano interrato'!G79</f>
        <v>200.95999999999998</v>
      </c>
      <c r="C19" s="2">
        <v>189.72</v>
      </c>
      <c r="G19" s="2">
        <v>2</v>
      </c>
      <c r="H19" s="12">
        <f>'bilanc.rigidezze I'!$I$79</f>
        <v>158.09000000000003</v>
      </c>
      <c r="I19" s="2">
        <v>142.66999999999999</v>
      </c>
    </row>
    <row r="20" spans="1:9" x14ac:dyDescent="0.25">
      <c r="G20" s="2">
        <v>1</v>
      </c>
      <c r="H20" s="2">
        <f>'bilanc.rigid piano interrato'!I79</f>
        <v>188.73999999999998</v>
      </c>
      <c r="I20" s="2">
        <v>174.3</v>
      </c>
    </row>
    <row r="22" spans="1:9" x14ac:dyDescent="0.25">
      <c r="A22" s="102"/>
      <c r="B22" s="102" t="s">
        <v>228</v>
      </c>
      <c r="C22" s="102"/>
    </row>
    <row r="23" spans="1:9" x14ac:dyDescent="0.25">
      <c r="A23" s="102" t="s">
        <v>0</v>
      </c>
      <c r="B23" s="102" t="s">
        <v>213</v>
      </c>
      <c r="C23" s="102" t="s">
        <v>217</v>
      </c>
    </row>
    <row r="24" spans="1:9" x14ac:dyDescent="0.25">
      <c r="A24" s="2">
        <v>6</v>
      </c>
      <c r="B24" s="2">
        <f>'bilanci rigi IV impalcato'!K79</f>
        <v>134.08000000000001</v>
      </c>
      <c r="C24" s="2">
        <v>91.65</v>
      </c>
    </row>
    <row r="25" spans="1:9" x14ac:dyDescent="0.25">
      <c r="A25" s="2">
        <v>5</v>
      </c>
      <c r="B25" s="12">
        <f>'bilanc.rigidezze I'!$K$79</f>
        <v>158.09000000000003</v>
      </c>
      <c r="C25" s="12">
        <v>130.11199999999999</v>
      </c>
    </row>
    <row r="26" spans="1:9" x14ac:dyDescent="0.25">
      <c r="A26" s="2">
        <v>4</v>
      </c>
      <c r="B26" s="12">
        <f>'bilanc.rigidezze I'!$K$79</f>
        <v>158.09000000000003</v>
      </c>
      <c r="C26" s="2">
        <v>135.22</v>
      </c>
    </row>
    <row r="27" spans="1:9" x14ac:dyDescent="0.25">
      <c r="A27" s="2">
        <v>3</v>
      </c>
      <c r="B27" s="12">
        <f>'bilanc.rigidezze I'!$K$79</f>
        <v>158.09000000000003</v>
      </c>
      <c r="C27" s="2">
        <v>138.11000000000001</v>
      </c>
    </row>
    <row r="28" spans="1:9" x14ac:dyDescent="0.25">
      <c r="A28" s="2">
        <v>2</v>
      </c>
      <c r="B28" s="12">
        <f>'bilanc.rigidezze I'!$K$79</f>
        <v>158.09000000000003</v>
      </c>
      <c r="C28" s="2">
        <v>142.5</v>
      </c>
    </row>
    <row r="29" spans="1:9" x14ac:dyDescent="0.25">
      <c r="A29" s="2">
        <v>1</v>
      </c>
      <c r="B29" s="2">
        <f>'bilanc.rigid piano interrato'!K79</f>
        <v>188.73999999999998</v>
      </c>
      <c r="C29" s="2">
        <v>174.6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zoomScale="56" zoomScaleNormal="56" workbookViewId="0">
      <selection activeCell="E20" sqref="E20"/>
    </sheetView>
  </sheetViews>
  <sheetFormatPr defaultRowHeight="15" x14ac:dyDescent="0.25"/>
  <cols>
    <col min="1" max="1" width="14" customWidth="1"/>
    <col min="2" max="2" width="17.28515625" customWidth="1"/>
    <col min="3" max="3" width="20.42578125" customWidth="1"/>
    <col min="4" max="4" width="19" customWidth="1"/>
    <col min="5" max="5" width="13.42578125" customWidth="1"/>
  </cols>
  <sheetData>
    <row r="1" spans="1:5" x14ac:dyDescent="0.25">
      <c r="A1" s="62" t="s">
        <v>0</v>
      </c>
      <c r="B1" s="2" t="s">
        <v>189</v>
      </c>
      <c r="C1" s="2" t="s">
        <v>192</v>
      </c>
      <c r="D1" s="2" t="s">
        <v>191</v>
      </c>
      <c r="E1" s="2" t="s">
        <v>1</v>
      </c>
    </row>
    <row r="2" spans="1:5" x14ac:dyDescent="0.25">
      <c r="A2" s="62" t="s">
        <v>2</v>
      </c>
      <c r="B2" s="62">
        <v>502.5</v>
      </c>
      <c r="C2" s="62">
        <v>9</v>
      </c>
      <c r="D2" s="62">
        <f>B2*C2</f>
        <v>4522.5</v>
      </c>
      <c r="E2" s="63">
        <f>D2/9.81</f>
        <v>461.00917431192659</v>
      </c>
    </row>
    <row r="3" spans="1:5" x14ac:dyDescent="0.25">
      <c r="A3" s="62">
        <v>5</v>
      </c>
      <c r="B3" s="62">
        <v>575.1</v>
      </c>
      <c r="C3" s="62">
        <v>10</v>
      </c>
      <c r="D3" s="63">
        <f t="shared" ref="D3:D7" si="0">B3*C3</f>
        <v>5751</v>
      </c>
      <c r="E3" s="63">
        <f t="shared" ref="E3:E8" si="1">D3/9.81</f>
        <v>586.23853211009168</v>
      </c>
    </row>
    <row r="4" spans="1:5" x14ac:dyDescent="0.25">
      <c r="A4" s="62">
        <v>4</v>
      </c>
      <c r="B4" s="62">
        <v>575.1</v>
      </c>
      <c r="C4" s="62">
        <v>10</v>
      </c>
      <c r="D4" s="63">
        <f t="shared" si="0"/>
        <v>5751</v>
      </c>
      <c r="E4" s="63">
        <f t="shared" si="1"/>
        <v>586.23853211009168</v>
      </c>
    </row>
    <row r="5" spans="1:5" x14ac:dyDescent="0.25">
      <c r="A5" s="62">
        <v>3</v>
      </c>
      <c r="B5" s="62">
        <v>575.1</v>
      </c>
      <c r="C5" s="62">
        <v>10</v>
      </c>
      <c r="D5" s="63">
        <f t="shared" si="0"/>
        <v>5751</v>
      </c>
      <c r="E5" s="63">
        <f t="shared" si="1"/>
        <v>586.23853211009168</v>
      </c>
    </row>
    <row r="6" spans="1:5" x14ac:dyDescent="0.25">
      <c r="A6" s="62">
        <v>2</v>
      </c>
      <c r="B6" s="62">
        <v>575.1</v>
      </c>
      <c r="C6" s="62">
        <v>10</v>
      </c>
      <c r="D6" s="63">
        <f t="shared" si="0"/>
        <v>5751</v>
      </c>
      <c r="E6" s="63">
        <f t="shared" si="1"/>
        <v>586.23853211009168</v>
      </c>
    </row>
    <row r="7" spans="1:5" x14ac:dyDescent="0.25">
      <c r="A7" s="62">
        <v>1</v>
      </c>
      <c r="B7" s="62">
        <v>472.3</v>
      </c>
      <c r="C7" s="62">
        <v>10</v>
      </c>
      <c r="D7" s="63">
        <f t="shared" si="0"/>
        <v>4723</v>
      </c>
      <c r="E7" s="63">
        <f t="shared" si="1"/>
        <v>481.44750254841995</v>
      </c>
    </row>
    <row r="8" spans="1:5" x14ac:dyDescent="0.25">
      <c r="A8" s="62" t="s">
        <v>3</v>
      </c>
      <c r="B8" s="64"/>
      <c r="C8" s="64"/>
      <c r="D8" s="63">
        <f>SUM(D2:D7)</f>
        <v>32249.5</v>
      </c>
      <c r="E8" s="63">
        <f t="shared" si="1"/>
        <v>3287.4108053007135</v>
      </c>
    </row>
    <row r="11" spans="1:5" x14ac:dyDescent="0.25">
      <c r="A11" s="2" t="s">
        <v>4</v>
      </c>
      <c r="B11" s="2">
        <v>7.4999999999999997E-2</v>
      </c>
    </row>
    <row r="12" spans="1:5" x14ac:dyDescent="0.25">
      <c r="A12" s="2" t="s">
        <v>5</v>
      </c>
      <c r="B12" s="2">
        <v>20</v>
      </c>
    </row>
    <row r="13" spans="1:5" x14ac:dyDescent="0.25">
      <c r="A13" s="2" t="s">
        <v>6</v>
      </c>
      <c r="B13" s="3">
        <f>B11*B12^(3/4)</f>
        <v>0.70930620675238187</v>
      </c>
    </row>
    <row r="14" spans="1:5" x14ac:dyDescent="0.25">
      <c r="A14" s="2" t="s">
        <v>7</v>
      </c>
      <c r="B14" s="2">
        <v>8.4000000000000005E-2</v>
      </c>
      <c r="C14" t="s">
        <v>92</v>
      </c>
    </row>
    <row r="15" spans="1:5" x14ac:dyDescent="0.25">
      <c r="A15" s="2" t="s">
        <v>8</v>
      </c>
      <c r="B15" s="4">
        <f>0.85*D8*B14</f>
        <v>2302.6143000000002</v>
      </c>
    </row>
    <row r="16" spans="1:5" x14ac:dyDescent="0.25">
      <c r="A16" s="1"/>
    </row>
    <row r="19" spans="1:6" x14ac:dyDescent="0.25">
      <c r="A19" s="65" t="s">
        <v>0</v>
      </c>
      <c r="B19" s="65" t="s">
        <v>193</v>
      </c>
      <c r="C19" s="65" t="s">
        <v>190</v>
      </c>
      <c r="D19" s="65" t="s">
        <v>194</v>
      </c>
      <c r="E19" s="65" t="s">
        <v>195</v>
      </c>
      <c r="F19" s="65" t="s">
        <v>196</v>
      </c>
    </row>
    <row r="20" spans="1:6" x14ac:dyDescent="0.25">
      <c r="A20" s="65" t="s">
        <v>10</v>
      </c>
      <c r="B20" s="65">
        <f t="shared" ref="B20:B25" si="2">D2</f>
        <v>4522.5</v>
      </c>
      <c r="C20" s="65">
        <f>C21+3.3</f>
        <v>20</v>
      </c>
      <c r="D20" s="66">
        <f>B20*C20</f>
        <v>90450</v>
      </c>
      <c r="E20" s="67">
        <f>D20/$D$26*$B$15</f>
        <v>552.03785922828695</v>
      </c>
      <c r="F20" s="68">
        <f>E20</f>
        <v>552.03785922828695</v>
      </c>
    </row>
    <row r="21" spans="1:6" x14ac:dyDescent="0.25">
      <c r="A21" s="65">
        <v>5</v>
      </c>
      <c r="B21" s="68">
        <f t="shared" si="2"/>
        <v>5751</v>
      </c>
      <c r="C21" s="65">
        <f>C22+3.3</f>
        <v>16.7</v>
      </c>
      <c r="D21" s="66">
        <f t="shared" ref="D21:D25" si="3">B21*C21</f>
        <v>96041.7</v>
      </c>
      <c r="E21" s="68">
        <f t="shared" ref="E21:E25" si="4">D21/$D$26*$B$15</f>
        <v>586.16533404804159</v>
      </c>
      <c r="F21" s="68">
        <f>F20+E21</f>
        <v>1138.2031932763284</v>
      </c>
    </row>
    <row r="22" spans="1:6" x14ac:dyDescent="0.25">
      <c r="A22" s="65">
        <v>4</v>
      </c>
      <c r="B22" s="68">
        <f t="shared" si="2"/>
        <v>5751</v>
      </c>
      <c r="C22" s="65">
        <f>C23+3.3</f>
        <v>13.399999999999999</v>
      </c>
      <c r="D22" s="66">
        <f t="shared" si="3"/>
        <v>77063.399999999994</v>
      </c>
      <c r="E22" s="68">
        <f t="shared" si="4"/>
        <v>470.33625606250047</v>
      </c>
      <c r="F22" s="68">
        <f>F21+E22</f>
        <v>1608.5394493388289</v>
      </c>
    </row>
    <row r="23" spans="1:6" x14ac:dyDescent="0.25">
      <c r="A23" s="65">
        <v>3</v>
      </c>
      <c r="B23" s="68">
        <f t="shared" si="2"/>
        <v>5751</v>
      </c>
      <c r="C23" s="65">
        <f>C24+3.3</f>
        <v>10.1</v>
      </c>
      <c r="D23" s="66">
        <f t="shared" si="3"/>
        <v>58085.1</v>
      </c>
      <c r="E23" s="68">
        <f t="shared" si="4"/>
        <v>354.50717807695935</v>
      </c>
      <c r="F23" s="68">
        <f>F22+E23</f>
        <v>1963.0466274157884</v>
      </c>
    </row>
    <row r="24" spans="1:6" x14ac:dyDescent="0.25">
      <c r="A24" s="65">
        <v>2</v>
      </c>
      <c r="B24" s="68">
        <f t="shared" si="2"/>
        <v>5751</v>
      </c>
      <c r="C24" s="65">
        <f>C25+3.3</f>
        <v>6.8</v>
      </c>
      <c r="D24" s="66">
        <f t="shared" si="3"/>
        <v>39106.799999999996</v>
      </c>
      <c r="E24" s="68">
        <f t="shared" si="4"/>
        <v>238.67810009141814</v>
      </c>
      <c r="F24" s="68">
        <f>F23+E24</f>
        <v>2201.7247275072064</v>
      </c>
    </row>
    <row r="25" spans="1:6" x14ac:dyDescent="0.25">
      <c r="A25" s="65">
        <v>1</v>
      </c>
      <c r="B25" s="68">
        <f t="shared" si="2"/>
        <v>4723</v>
      </c>
      <c r="C25" s="65">
        <v>3.5</v>
      </c>
      <c r="D25" s="66">
        <f t="shared" si="3"/>
        <v>16530.5</v>
      </c>
      <c r="E25" s="68">
        <f t="shared" si="4"/>
        <v>100.88957249279379</v>
      </c>
      <c r="F25" s="68">
        <f>F24+E25</f>
        <v>2302.6143000000002</v>
      </c>
    </row>
    <row r="26" spans="1:6" x14ac:dyDescent="0.25">
      <c r="A26" s="65" t="s">
        <v>11</v>
      </c>
      <c r="B26" s="69"/>
      <c r="C26" s="69"/>
      <c r="D26" s="66">
        <f>SUM(D20:D25)</f>
        <v>377277.49999999994</v>
      </c>
      <c r="E26" s="69"/>
      <c r="F26" s="6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"/>
  <sheetViews>
    <sheetView tabSelected="1" topLeftCell="A40" zoomScale="46" zoomScaleNormal="46" workbookViewId="0">
      <selection activeCell="Q49" sqref="Q49"/>
    </sheetView>
  </sheetViews>
  <sheetFormatPr defaultRowHeight="15" x14ac:dyDescent="0.25"/>
  <cols>
    <col min="1" max="1" width="20.28515625" customWidth="1"/>
    <col min="2" max="2" width="11.5703125" customWidth="1"/>
    <col min="3" max="4" width="16.140625" customWidth="1"/>
    <col min="5" max="5" width="13.5703125" customWidth="1"/>
    <col min="6" max="6" width="15.140625" customWidth="1"/>
    <col min="7" max="7" width="11.85546875" customWidth="1"/>
    <col min="8" max="8" width="5.5703125" customWidth="1"/>
    <col min="9" max="9" width="15.28515625" customWidth="1"/>
    <col min="10" max="10" width="15.85546875" customWidth="1"/>
    <col min="11" max="11" width="11.28515625" customWidth="1"/>
    <col min="12" max="12" width="10.7109375" customWidth="1"/>
    <col min="14" max="14" width="12.28515625" customWidth="1"/>
    <col min="15" max="15" width="14.7109375" customWidth="1"/>
  </cols>
  <sheetData>
    <row r="1" spans="1:12" x14ac:dyDescent="0.25">
      <c r="A1" s="38" t="s">
        <v>12</v>
      </c>
      <c r="B1" s="38">
        <v>13</v>
      </c>
      <c r="C1" s="7" t="s">
        <v>93</v>
      </c>
      <c r="D1" s="7"/>
      <c r="E1" s="7"/>
    </row>
    <row r="2" spans="1:12" x14ac:dyDescent="0.25">
      <c r="A2" s="38" t="s">
        <v>13</v>
      </c>
      <c r="B2" s="39"/>
    </row>
    <row r="3" spans="1:12" x14ac:dyDescent="0.25">
      <c r="A3" s="38" t="s">
        <v>14</v>
      </c>
      <c r="B3" s="38">
        <v>3.3</v>
      </c>
    </row>
    <row r="4" spans="1:12" x14ac:dyDescent="0.25">
      <c r="A4" s="38" t="s">
        <v>100</v>
      </c>
      <c r="B4" s="55">
        <v>3.8022</v>
      </c>
    </row>
    <row r="5" spans="1:12" x14ac:dyDescent="0.25">
      <c r="I5" s="39"/>
      <c r="J5" s="39" t="s">
        <v>34</v>
      </c>
      <c r="K5" s="39"/>
      <c r="L5" s="39"/>
    </row>
    <row r="6" spans="1:12" x14ac:dyDescent="0.25">
      <c r="A6" s="77" t="s">
        <v>15</v>
      </c>
      <c r="B6" s="77" t="s">
        <v>196</v>
      </c>
      <c r="C6" s="77" t="s">
        <v>197</v>
      </c>
      <c r="D6" s="77" t="s">
        <v>198</v>
      </c>
      <c r="E6" s="77" t="s">
        <v>199</v>
      </c>
      <c r="F6" s="77" t="s">
        <v>200</v>
      </c>
      <c r="G6" s="77" t="s">
        <v>201</v>
      </c>
      <c r="I6" s="39" t="s">
        <v>32</v>
      </c>
      <c r="J6" s="38" t="s">
        <v>33</v>
      </c>
      <c r="K6" s="39" t="s">
        <v>35</v>
      </c>
      <c r="L6" s="39"/>
    </row>
    <row r="7" spans="1:12" x14ac:dyDescent="0.25">
      <c r="A7" s="77">
        <v>6</v>
      </c>
      <c r="B7" s="78">
        <f>'masse e forze'!F20</f>
        <v>552.03785922828695</v>
      </c>
      <c r="C7" s="78">
        <f>B7/$B$1</f>
        <v>42.464450709868224</v>
      </c>
      <c r="D7" s="77">
        <f>0.5*$B$3</f>
        <v>1.65</v>
      </c>
      <c r="E7" s="78">
        <f>C7*D7</f>
        <v>70.066343671282567</v>
      </c>
      <c r="F7" s="78">
        <f>E7/2</f>
        <v>35.033171835641284</v>
      </c>
      <c r="G7" s="79">
        <f>2*(F7/$B$4)</f>
        <v>18.42784274138198</v>
      </c>
      <c r="I7" s="55">
        <f>(C7*20/100)+C7</f>
        <v>50.95734085184187</v>
      </c>
      <c r="J7" s="70">
        <f>(E7*20/100)+E7</f>
        <v>84.079612405539081</v>
      </c>
      <c r="K7" s="70">
        <f>(F7*20/100)+F7</f>
        <v>42.03980620276954</v>
      </c>
      <c r="L7" s="39"/>
    </row>
    <row r="8" spans="1:12" x14ac:dyDescent="0.25">
      <c r="A8" s="77">
        <v>5</v>
      </c>
      <c r="B8" s="78">
        <f>'masse e forze'!F21</f>
        <v>1138.2031932763284</v>
      </c>
      <c r="C8" s="78">
        <f t="shared" ref="C8:C12" si="0">B8/$B$1</f>
        <v>87.554091790486808</v>
      </c>
      <c r="D8" s="77">
        <f t="shared" ref="D8:D11" si="1">0.5*$B$3</f>
        <v>1.65</v>
      </c>
      <c r="E8" s="78">
        <f t="shared" ref="E8:E12" si="2">C8*D8</f>
        <v>144.46425145430322</v>
      </c>
      <c r="F8" s="78">
        <f>(E7+E8)/2</f>
        <v>107.2652975627929</v>
      </c>
      <c r="G8" s="80">
        <f>((F7+F8)/$B$4)*2</f>
        <v>74.850596706345897</v>
      </c>
      <c r="I8" s="55">
        <f t="shared" ref="I8:I12" si="3">(C8*20/100)+C8</f>
        <v>105.06491014858418</v>
      </c>
      <c r="J8" s="70">
        <f t="shared" ref="J8:J12" si="4">(E8*20/100)+E8</f>
        <v>173.35710174516387</v>
      </c>
      <c r="K8" s="70">
        <f t="shared" ref="K8:K12" si="5">(F8*20/100)+F8</f>
        <v>128.71835707535146</v>
      </c>
      <c r="L8" s="39"/>
    </row>
    <row r="9" spans="1:12" x14ac:dyDescent="0.25">
      <c r="A9" s="77">
        <v>4</v>
      </c>
      <c r="B9" s="78">
        <f>'masse e forze'!F22</f>
        <v>1608.5394493388289</v>
      </c>
      <c r="C9" s="78">
        <f t="shared" si="0"/>
        <v>123.73380379529453</v>
      </c>
      <c r="D9" s="77">
        <f t="shared" si="1"/>
        <v>1.65</v>
      </c>
      <c r="E9" s="78">
        <f t="shared" si="2"/>
        <v>204.16077626223597</v>
      </c>
      <c r="F9" s="78">
        <f>(E8+E9)/2</f>
        <v>174.3125138582696</v>
      </c>
      <c r="G9" s="80">
        <f t="shared" ref="G9:G12" si="6">((F8+F9)/$B$4)*2</f>
        <v>148.11309842778522</v>
      </c>
      <c r="I9" s="55">
        <f t="shared" si="3"/>
        <v>148.48056455435344</v>
      </c>
      <c r="J9" s="70">
        <f t="shared" si="4"/>
        <v>244.99293151468316</v>
      </c>
      <c r="K9" s="70">
        <f t="shared" si="5"/>
        <v>209.1750166299235</v>
      </c>
      <c r="L9" s="39"/>
    </row>
    <row r="10" spans="1:12" x14ac:dyDescent="0.25">
      <c r="A10" s="77">
        <v>3</v>
      </c>
      <c r="B10" s="78">
        <f>'masse e forze'!F23</f>
        <v>1963.0466274157884</v>
      </c>
      <c r="C10" s="78">
        <f t="shared" si="0"/>
        <v>151.00358672429141</v>
      </c>
      <c r="D10" s="77">
        <f t="shared" si="1"/>
        <v>1.65</v>
      </c>
      <c r="E10" s="78">
        <f t="shared" si="2"/>
        <v>249.15591809508081</v>
      </c>
      <c r="F10" s="78">
        <f t="shared" ref="F10:F12" si="7">(E9+E10)/2</f>
        <v>226.6583471786584</v>
      </c>
      <c r="G10" s="80">
        <f t="shared" si="6"/>
        <v>210.91518649041501</v>
      </c>
      <c r="I10" s="55">
        <f t="shared" si="3"/>
        <v>181.20430406914969</v>
      </c>
      <c r="J10" s="70">
        <f t="shared" si="4"/>
        <v>298.98710171409698</v>
      </c>
      <c r="K10" s="70">
        <f t="shared" si="5"/>
        <v>271.99001661439007</v>
      </c>
      <c r="L10" s="39"/>
    </row>
    <row r="11" spans="1:12" x14ac:dyDescent="0.25">
      <c r="A11" s="77">
        <v>2</v>
      </c>
      <c r="B11" s="78">
        <f>'masse e forze'!F24</f>
        <v>2201.7247275072064</v>
      </c>
      <c r="C11" s="78">
        <f t="shared" si="0"/>
        <v>169.36344057747741</v>
      </c>
      <c r="D11" s="77">
        <f t="shared" si="1"/>
        <v>1.65</v>
      </c>
      <c r="E11" s="78">
        <f t="shared" si="2"/>
        <v>279.44967695283771</v>
      </c>
      <c r="F11" s="78">
        <f t="shared" si="7"/>
        <v>264.30279752395927</v>
      </c>
      <c r="G11" s="80">
        <f t="shared" si="6"/>
        <v>258.25108868687477</v>
      </c>
      <c r="I11" s="55">
        <f t="shared" si="3"/>
        <v>203.2361286929729</v>
      </c>
      <c r="J11" s="70">
        <f t="shared" si="4"/>
        <v>335.33961234340524</v>
      </c>
      <c r="K11" s="70">
        <f t="shared" si="5"/>
        <v>317.16335702875114</v>
      </c>
      <c r="L11" s="39"/>
    </row>
    <row r="12" spans="1:12" x14ac:dyDescent="0.25">
      <c r="A12" s="77">
        <v>1</v>
      </c>
      <c r="B12" s="78">
        <f>'masse e forze'!F25</f>
        <v>2302.6143000000002</v>
      </c>
      <c r="C12" s="78">
        <f t="shared" si="0"/>
        <v>177.12417692307693</v>
      </c>
      <c r="D12" s="77">
        <f>0.4*$B$3</f>
        <v>1.32</v>
      </c>
      <c r="E12" s="78">
        <f t="shared" si="2"/>
        <v>233.80391353846156</v>
      </c>
      <c r="F12" s="78">
        <f t="shared" si="7"/>
        <v>256.62679524564965</v>
      </c>
      <c r="G12" s="80">
        <f t="shared" si="6"/>
        <v>274.01482971417016</v>
      </c>
      <c r="I12" s="55">
        <f t="shared" si="3"/>
        <v>212.54901230769232</v>
      </c>
      <c r="J12" s="70">
        <f t="shared" si="4"/>
        <v>280.56469624615386</v>
      </c>
      <c r="K12" s="70">
        <f t="shared" si="5"/>
        <v>307.95215429477958</v>
      </c>
      <c r="L12" s="39"/>
    </row>
    <row r="13" spans="1:12" x14ac:dyDescent="0.25">
      <c r="A13" s="77" t="s">
        <v>16</v>
      </c>
      <c r="B13" s="77"/>
      <c r="C13" s="81"/>
      <c r="D13" s="77">
        <f>0.6*$B$3</f>
        <v>1.9799999999999998</v>
      </c>
      <c r="E13" s="78">
        <f>C12*D13</f>
        <v>350.70587030769229</v>
      </c>
      <c r="F13" s="79"/>
      <c r="G13" s="80"/>
      <c r="I13" s="39"/>
      <c r="J13" s="70">
        <f>(E13*20/100)+E13</f>
        <v>420.84704436923073</v>
      </c>
      <c r="K13" s="39"/>
      <c r="L13" s="39"/>
    </row>
    <row r="15" spans="1:12" x14ac:dyDescent="0.25">
      <c r="A15" s="73" t="s">
        <v>101</v>
      </c>
      <c r="B15" s="74" t="s">
        <v>128</v>
      </c>
      <c r="C15" s="64"/>
    </row>
    <row r="16" spans="1:12" x14ac:dyDescent="0.25">
      <c r="A16" s="64" t="s">
        <v>97</v>
      </c>
      <c r="B16" s="64" t="s">
        <v>66</v>
      </c>
      <c r="C16" s="64"/>
      <c r="G16" s="16"/>
    </row>
    <row r="17" spans="1:14" x14ac:dyDescent="0.25">
      <c r="A17" s="64" t="s">
        <v>63</v>
      </c>
      <c r="B17" s="64" t="s">
        <v>64</v>
      </c>
      <c r="C17" s="71">
        <f>(('carichi unitari'!C20)*(5.6321*5.6321))/10</f>
        <v>170.82638668858507</v>
      </c>
    </row>
    <row r="18" spans="1:14" x14ac:dyDescent="0.25">
      <c r="A18" s="64" t="s">
        <v>65</v>
      </c>
      <c r="B18" s="64"/>
      <c r="C18" s="71">
        <f>K26</f>
        <v>307.95215429477958</v>
      </c>
      <c r="H18" s="39"/>
      <c r="I18" s="39"/>
      <c r="J18" s="38" t="s">
        <v>95</v>
      </c>
      <c r="K18" s="38"/>
      <c r="L18" s="38"/>
      <c r="M18" s="1"/>
      <c r="N18" s="1"/>
    </row>
    <row r="19" spans="1:14" x14ac:dyDescent="0.25">
      <c r="A19" s="64" t="s">
        <v>98</v>
      </c>
      <c r="B19" s="64"/>
      <c r="C19" s="71">
        <f>SUM(C17:C18)</f>
        <v>478.77854098336468</v>
      </c>
      <c r="H19" s="39"/>
      <c r="I19" s="39"/>
      <c r="J19" s="39"/>
      <c r="K19" s="39"/>
      <c r="L19" s="39"/>
    </row>
    <row r="20" spans="1:14" x14ac:dyDescent="0.25">
      <c r="A20" s="64"/>
      <c r="B20" s="64"/>
      <c r="C20" s="64"/>
      <c r="H20" s="39"/>
      <c r="I20" s="38" t="s">
        <v>32</v>
      </c>
      <c r="J20" s="38" t="s">
        <v>33</v>
      </c>
      <c r="K20" s="38" t="s">
        <v>35</v>
      </c>
      <c r="L20" s="39"/>
    </row>
    <row r="21" spans="1:14" x14ac:dyDescent="0.25">
      <c r="A21" s="64" t="s">
        <v>67</v>
      </c>
      <c r="B21" s="64"/>
      <c r="C21" s="64"/>
      <c r="H21" s="39"/>
      <c r="I21" s="55">
        <f t="shared" ref="I21:I26" si="8">I7</f>
        <v>50.95734085184187</v>
      </c>
      <c r="J21" s="70">
        <f>J7*1.5</f>
        <v>126.11941860830862</v>
      </c>
      <c r="K21" s="70">
        <f t="shared" ref="K21:K26" si="9">K7</f>
        <v>42.03980620276954</v>
      </c>
      <c r="L21" s="39"/>
    </row>
    <row r="22" spans="1:14" x14ac:dyDescent="0.25">
      <c r="A22" s="64" t="s">
        <v>68</v>
      </c>
      <c r="B22" s="62">
        <v>0.3</v>
      </c>
      <c r="C22" s="64" t="s">
        <v>99</v>
      </c>
      <c r="H22" s="39"/>
      <c r="I22" s="55">
        <f t="shared" si="8"/>
        <v>105.06491014858418</v>
      </c>
      <c r="J22" s="70">
        <f t="shared" ref="J22:J26" si="10">J8*1.5</f>
        <v>260.03565261774582</v>
      </c>
      <c r="K22" s="70">
        <f t="shared" si="9"/>
        <v>128.71835707535146</v>
      </c>
      <c r="L22" s="39"/>
    </row>
    <row r="23" spans="1:14" x14ac:dyDescent="0.25">
      <c r="A23" s="64" t="s">
        <v>69</v>
      </c>
      <c r="B23" s="62" t="s">
        <v>70</v>
      </c>
      <c r="C23" s="64"/>
      <c r="H23" s="39"/>
      <c r="I23" s="55">
        <f t="shared" si="8"/>
        <v>148.48056455435344</v>
      </c>
      <c r="J23" s="70">
        <f t="shared" si="10"/>
        <v>367.48939727202475</v>
      </c>
      <c r="K23" s="70">
        <f t="shared" si="9"/>
        <v>209.1750166299235</v>
      </c>
      <c r="L23" s="39"/>
    </row>
    <row r="24" spans="1:14" x14ac:dyDescent="0.25">
      <c r="A24" s="64" t="s">
        <v>71</v>
      </c>
      <c r="B24" s="62">
        <v>0.04</v>
      </c>
      <c r="C24" s="64" t="s">
        <v>99</v>
      </c>
      <c r="H24" s="39"/>
      <c r="I24" s="55">
        <f t="shared" si="8"/>
        <v>181.20430406914969</v>
      </c>
      <c r="J24" s="70">
        <f t="shared" si="10"/>
        <v>448.48065257114547</v>
      </c>
      <c r="K24" s="70">
        <f t="shared" si="9"/>
        <v>271.99001661439007</v>
      </c>
      <c r="L24" s="39"/>
    </row>
    <row r="25" spans="1:14" x14ac:dyDescent="0.25">
      <c r="A25" s="64" t="s">
        <v>72</v>
      </c>
      <c r="B25" s="63">
        <f>C19</f>
        <v>478.77854098336468</v>
      </c>
      <c r="C25" s="64"/>
      <c r="H25" s="39"/>
      <c r="I25" s="55">
        <f t="shared" si="8"/>
        <v>203.2361286929729</v>
      </c>
      <c r="J25" s="70">
        <f t="shared" si="10"/>
        <v>503.00941851510788</v>
      </c>
      <c r="K25" s="70">
        <f t="shared" si="9"/>
        <v>317.16335702875114</v>
      </c>
      <c r="L25" s="39"/>
    </row>
    <row r="26" spans="1:14" x14ac:dyDescent="0.25">
      <c r="A26" s="64" t="s">
        <v>73</v>
      </c>
      <c r="B26" s="62">
        <v>25</v>
      </c>
      <c r="C26" s="64"/>
      <c r="H26" s="39"/>
      <c r="I26" s="55">
        <f t="shared" si="8"/>
        <v>212.54901230769232</v>
      </c>
      <c r="J26" s="70">
        <f t="shared" si="10"/>
        <v>420.84704436923079</v>
      </c>
      <c r="K26" s="70">
        <f t="shared" si="9"/>
        <v>307.95215429477958</v>
      </c>
      <c r="L26" s="39"/>
    </row>
    <row r="27" spans="1:14" x14ac:dyDescent="0.25">
      <c r="A27" s="64" t="s">
        <v>74</v>
      </c>
      <c r="B27" s="62">
        <v>1.7000000000000001E-2</v>
      </c>
      <c r="C27" s="64"/>
      <c r="H27" s="39"/>
      <c r="I27" s="39"/>
      <c r="J27" s="70">
        <f>J13</f>
        <v>420.84704436923073</v>
      </c>
      <c r="K27" s="39"/>
      <c r="L27" s="39"/>
    </row>
    <row r="28" spans="1:14" x14ac:dyDescent="0.25">
      <c r="A28" s="64"/>
      <c r="B28" s="62"/>
      <c r="C28" s="64" t="s">
        <v>76</v>
      </c>
    </row>
    <row r="29" spans="1:14" x14ac:dyDescent="0.25">
      <c r="A29" s="64" t="s">
        <v>69</v>
      </c>
      <c r="B29" s="75">
        <f>B27*SQRT(B25/B22)</f>
        <v>0.6791342487417158</v>
      </c>
      <c r="C29" s="64"/>
      <c r="D29" s="15" t="s">
        <v>75</v>
      </c>
      <c r="E29" s="15"/>
      <c r="F29" s="15"/>
      <c r="G29" s="15" t="s">
        <v>245</v>
      </c>
      <c r="I29" t="s">
        <v>113</v>
      </c>
    </row>
    <row r="32" spans="1:14" x14ac:dyDescent="0.25">
      <c r="A32" s="15" t="s">
        <v>102</v>
      </c>
      <c r="B32" s="15"/>
    </row>
    <row r="33" spans="1:8" x14ac:dyDescent="0.25">
      <c r="B33" s="17"/>
    </row>
    <row r="34" spans="1:8" x14ac:dyDescent="0.25">
      <c r="A34" s="77" t="s">
        <v>0</v>
      </c>
      <c r="B34" s="78" t="s">
        <v>94</v>
      </c>
      <c r="C34" s="77" t="s">
        <v>106</v>
      </c>
      <c r="D34" s="77" t="s">
        <v>103</v>
      </c>
      <c r="E34" s="77" t="s">
        <v>104</v>
      </c>
      <c r="F34" s="77" t="s">
        <v>107</v>
      </c>
      <c r="G34" s="77" t="s">
        <v>108</v>
      </c>
      <c r="H34" s="1"/>
    </row>
    <row r="35" spans="1:8" x14ac:dyDescent="0.25">
      <c r="A35" s="77">
        <v>6</v>
      </c>
      <c r="B35" s="78">
        <f>J21</f>
        <v>126.11941860830862</v>
      </c>
      <c r="C35" s="78">
        <f>G7</f>
        <v>18.42784274138198</v>
      </c>
      <c r="D35" s="78">
        <f>'carichi unitari'!D73</f>
        <v>317.46439829430005</v>
      </c>
      <c r="E35" s="82">
        <f>'carichi unitari'!E73</f>
        <v>125.87298625000003</v>
      </c>
      <c r="F35" s="78">
        <f>D35+C35</f>
        <v>335.89224103568205</v>
      </c>
      <c r="G35" s="82">
        <f>E35-C35</f>
        <v>107.44514350861805</v>
      </c>
    </row>
    <row r="36" spans="1:8" x14ac:dyDescent="0.25">
      <c r="A36" s="77">
        <v>5</v>
      </c>
      <c r="B36" s="78">
        <f t="shared" ref="B36:B40" si="11">J22</f>
        <v>260.03565261774582</v>
      </c>
      <c r="C36" s="78">
        <f t="shared" ref="C36:C40" si="12">G8</f>
        <v>74.850596706345897</v>
      </c>
      <c r="D36" s="78">
        <f>'carichi unitari'!D74</f>
        <v>634.92879658860011</v>
      </c>
      <c r="E36" s="82">
        <f>'carichi unitari'!E74</f>
        <v>251.74597250000005</v>
      </c>
      <c r="F36" s="78">
        <f t="shared" ref="F36:F40" si="13">D36+C36</f>
        <v>709.77939329494598</v>
      </c>
      <c r="G36" s="82">
        <f t="shared" ref="G36:G40" si="14">E36-C36</f>
        <v>176.89537579365415</v>
      </c>
    </row>
    <row r="37" spans="1:8" x14ac:dyDescent="0.25">
      <c r="A37" s="77">
        <v>4</v>
      </c>
      <c r="B37" s="78">
        <f t="shared" si="11"/>
        <v>367.48939727202475</v>
      </c>
      <c r="C37" s="78">
        <f t="shared" si="12"/>
        <v>148.11309842778522</v>
      </c>
      <c r="D37" s="78">
        <f>'carichi unitari'!D75</f>
        <v>952.39319488290016</v>
      </c>
      <c r="E37" s="82">
        <f>'carichi unitari'!E75</f>
        <v>377.61895875000005</v>
      </c>
      <c r="F37" s="78">
        <f t="shared" si="13"/>
        <v>1100.5062933106854</v>
      </c>
      <c r="G37" s="82">
        <f t="shared" si="14"/>
        <v>229.50586032221483</v>
      </c>
    </row>
    <row r="38" spans="1:8" x14ac:dyDescent="0.25">
      <c r="A38" s="77">
        <v>3</v>
      </c>
      <c r="B38" s="78">
        <f t="shared" si="11"/>
        <v>448.48065257114547</v>
      </c>
      <c r="C38" s="78">
        <f t="shared" si="12"/>
        <v>210.91518649041501</v>
      </c>
      <c r="D38" s="78">
        <f>'carichi unitari'!D76</f>
        <v>1269.8575931772002</v>
      </c>
      <c r="E38" s="82">
        <f>'carichi unitari'!E76</f>
        <v>503.4919450000001</v>
      </c>
      <c r="F38" s="78">
        <f t="shared" si="13"/>
        <v>1480.7727796676152</v>
      </c>
      <c r="G38" s="82">
        <f t="shared" si="14"/>
        <v>292.57675850958509</v>
      </c>
    </row>
    <row r="39" spans="1:8" x14ac:dyDescent="0.25">
      <c r="A39" s="77">
        <v>2</v>
      </c>
      <c r="B39" s="78">
        <f t="shared" si="11"/>
        <v>503.00941851510788</v>
      </c>
      <c r="C39" s="78">
        <f t="shared" si="12"/>
        <v>258.25108868687477</v>
      </c>
      <c r="D39" s="78">
        <f>'carichi unitari'!D77</f>
        <v>1587.3219914715003</v>
      </c>
      <c r="E39" s="82">
        <f>'carichi unitari'!E77</f>
        <v>629.36493125000015</v>
      </c>
      <c r="F39" s="78">
        <f t="shared" si="13"/>
        <v>1845.573080158375</v>
      </c>
      <c r="G39" s="82">
        <f t="shared" si="14"/>
        <v>371.11384256312539</v>
      </c>
    </row>
    <row r="40" spans="1:8" x14ac:dyDescent="0.25">
      <c r="A40" s="77">
        <v>1</v>
      </c>
      <c r="B40" s="78">
        <f t="shared" si="11"/>
        <v>420.84704436923079</v>
      </c>
      <c r="C40" s="78">
        <f t="shared" si="12"/>
        <v>274.01482971417016</v>
      </c>
      <c r="D40" s="78">
        <f>'carichi unitari'!D78</f>
        <v>1904.7863897658003</v>
      </c>
      <c r="E40" s="82">
        <f>'carichi unitari'!E78</f>
        <v>755.23791750000009</v>
      </c>
      <c r="F40" s="78">
        <f t="shared" si="13"/>
        <v>2178.8012194799703</v>
      </c>
      <c r="G40" s="82">
        <f t="shared" si="14"/>
        <v>481.22308778582993</v>
      </c>
    </row>
    <row r="41" spans="1:8" x14ac:dyDescent="0.25">
      <c r="A41" s="81"/>
      <c r="B41" s="78">
        <f>J27</f>
        <v>420.84704436923073</v>
      </c>
      <c r="C41" s="81"/>
      <c r="D41" s="81"/>
      <c r="E41" s="81"/>
      <c r="F41" s="81"/>
      <c r="G41" s="81"/>
    </row>
    <row r="42" spans="1:8" x14ac:dyDescent="0.25">
      <c r="A42" s="15" t="s">
        <v>180</v>
      </c>
    </row>
    <row r="43" spans="1:8" x14ac:dyDescent="0.25">
      <c r="A43" s="64" t="s">
        <v>109</v>
      </c>
      <c r="B43" s="71">
        <f>J27</f>
        <v>420.84704436923073</v>
      </c>
    </row>
    <row r="44" spans="1:8" x14ac:dyDescent="0.25">
      <c r="A44" s="64" t="s">
        <v>110</v>
      </c>
      <c r="B44" s="71">
        <f>F40</f>
        <v>2178.8012194799703</v>
      </c>
      <c r="D44" s="33" t="s">
        <v>112</v>
      </c>
      <c r="E44" t="s">
        <v>113</v>
      </c>
    </row>
    <row r="45" spans="1:8" x14ac:dyDescent="0.25">
      <c r="A45" s="64" t="s">
        <v>111</v>
      </c>
      <c r="B45" s="76">
        <f>G40</f>
        <v>481.22308778582993</v>
      </c>
      <c r="C45" s="32" t="s">
        <v>151</v>
      </c>
      <c r="D45" s="49">
        <f>J25</f>
        <v>503.00941851510788</v>
      </c>
    </row>
    <row r="46" spans="1:8" x14ac:dyDescent="0.25">
      <c r="A46" s="64"/>
      <c r="B46" s="64"/>
    </row>
    <row r="47" spans="1:8" x14ac:dyDescent="0.25">
      <c r="A47" s="41" t="s">
        <v>299</v>
      </c>
      <c r="B47" s="42"/>
      <c r="C47" s="43"/>
    </row>
    <row r="51" spans="9:12" x14ac:dyDescent="0.25">
      <c r="I51" s="73" t="s">
        <v>101</v>
      </c>
      <c r="J51" s="74" t="s">
        <v>129</v>
      </c>
      <c r="K51" s="64"/>
      <c r="L51" s="7"/>
    </row>
    <row r="52" spans="9:12" x14ac:dyDescent="0.25">
      <c r="I52" s="64" t="s">
        <v>97</v>
      </c>
      <c r="J52" s="64" t="s">
        <v>66</v>
      </c>
      <c r="K52" s="64"/>
      <c r="L52" s="7"/>
    </row>
    <row r="53" spans="9:12" x14ac:dyDescent="0.25">
      <c r="I53" s="64" t="s">
        <v>63</v>
      </c>
      <c r="J53" s="64" t="s">
        <v>64</v>
      </c>
      <c r="K53" s="63">
        <f>(('carichi unitari'!C43)*(3.8022*3.8022))/10</f>
        <v>75.810161515657498</v>
      </c>
      <c r="L53" s="7"/>
    </row>
    <row r="54" spans="9:12" x14ac:dyDescent="0.25">
      <c r="I54" s="64" t="s">
        <v>65</v>
      </c>
      <c r="J54" s="64"/>
      <c r="K54" s="63"/>
      <c r="L54" s="7"/>
    </row>
    <row r="55" spans="9:12" x14ac:dyDescent="0.25">
      <c r="I55" s="64" t="s">
        <v>98</v>
      </c>
      <c r="J55" s="64"/>
      <c r="K55" s="63">
        <f>SUM(K53:K54)</f>
        <v>75.810161515657498</v>
      </c>
      <c r="L55" s="7"/>
    </row>
    <row r="56" spans="9:12" x14ac:dyDescent="0.25">
      <c r="I56" s="64"/>
      <c r="J56" s="64"/>
      <c r="K56" s="64"/>
      <c r="L56" s="7"/>
    </row>
    <row r="57" spans="9:12" x14ac:dyDescent="0.25">
      <c r="I57" s="64" t="s">
        <v>67</v>
      </c>
      <c r="J57" s="64"/>
      <c r="K57" s="64"/>
      <c r="L57" s="7"/>
    </row>
    <row r="58" spans="9:12" x14ac:dyDescent="0.25">
      <c r="I58" s="64" t="s">
        <v>68</v>
      </c>
      <c r="J58" s="64">
        <v>0.28000000000000003</v>
      </c>
      <c r="K58" s="64" t="s">
        <v>99</v>
      </c>
      <c r="L58" s="7"/>
    </row>
    <row r="59" spans="9:12" x14ac:dyDescent="0.25">
      <c r="I59" s="64" t="s">
        <v>69</v>
      </c>
      <c r="J59" s="62" t="s">
        <v>70</v>
      </c>
      <c r="K59" s="64"/>
      <c r="L59" s="7"/>
    </row>
    <row r="60" spans="9:12" x14ac:dyDescent="0.25">
      <c r="I60" s="64" t="s">
        <v>71</v>
      </c>
      <c r="J60" s="64">
        <v>0.04</v>
      </c>
      <c r="K60" s="64" t="s">
        <v>99</v>
      </c>
      <c r="L60" s="7"/>
    </row>
    <row r="61" spans="9:12" x14ac:dyDescent="0.25">
      <c r="I61" s="64" t="s">
        <v>72</v>
      </c>
      <c r="J61" s="71">
        <f>K55</f>
        <v>75.810161515657498</v>
      </c>
      <c r="K61" s="64"/>
      <c r="L61" s="7"/>
    </row>
    <row r="62" spans="9:12" x14ac:dyDescent="0.25">
      <c r="I62" s="64" t="s">
        <v>73</v>
      </c>
      <c r="J62" s="64">
        <v>25</v>
      </c>
      <c r="K62" s="64"/>
      <c r="L62" s="7"/>
    </row>
    <row r="63" spans="9:12" x14ac:dyDescent="0.25">
      <c r="I63" s="64" t="s">
        <v>74</v>
      </c>
      <c r="J63" s="64">
        <v>1.7999999999999999E-2</v>
      </c>
      <c r="K63" s="64"/>
      <c r="L63" s="7"/>
    </row>
    <row r="64" spans="9:12" x14ac:dyDescent="0.25">
      <c r="I64" s="64"/>
      <c r="J64" s="64"/>
      <c r="K64" s="64" t="s">
        <v>76</v>
      </c>
      <c r="L64" s="7"/>
    </row>
    <row r="65" spans="9:14" x14ac:dyDescent="0.25">
      <c r="I65" s="64" t="s">
        <v>69</v>
      </c>
      <c r="J65" s="72">
        <f>J63*SQRT(J61/J58)</f>
        <v>0.29618100360537875</v>
      </c>
      <c r="K65" s="64"/>
      <c r="L65" s="7"/>
      <c r="M65" s="15" t="s">
        <v>152</v>
      </c>
      <c r="N65" s="15"/>
    </row>
  </sheetData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82"/>
  <sheetViews>
    <sheetView zoomScale="57" zoomScaleNormal="57" workbookViewId="0">
      <selection activeCell="I83" sqref="I83"/>
    </sheetView>
  </sheetViews>
  <sheetFormatPr defaultRowHeight="15" x14ac:dyDescent="0.25"/>
  <cols>
    <col min="1" max="1" width="28.7109375" customWidth="1"/>
    <col min="2" max="2" width="10.42578125" bestFit="1" customWidth="1"/>
    <col min="3" max="3" width="17.42578125" customWidth="1"/>
    <col min="4" max="4" width="16.85546875" customWidth="1"/>
    <col min="6" max="6" width="18.28515625" customWidth="1"/>
    <col min="7" max="7" width="12.28515625" customWidth="1"/>
    <col min="9" max="9" width="34.7109375" customWidth="1"/>
    <col min="11" max="11" width="9.7109375" customWidth="1"/>
  </cols>
  <sheetData>
    <row r="2" spans="1:14" x14ac:dyDescent="0.25">
      <c r="H2" s="34" t="s">
        <v>246</v>
      </c>
      <c r="I2" s="34"/>
      <c r="J2" s="34"/>
      <c r="K2" s="34"/>
    </row>
    <row r="5" spans="1:14" x14ac:dyDescent="0.25">
      <c r="A5" s="32" t="s">
        <v>114</v>
      </c>
      <c r="B5" s="32"/>
      <c r="C5" s="32" t="s">
        <v>119</v>
      </c>
      <c r="D5" s="35" t="s">
        <v>120</v>
      </c>
      <c r="E5" s="35"/>
      <c r="F5" s="35" t="s">
        <v>130</v>
      </c>
      <c r="I5" s="32" t="s">
        <v>122</v>
      </c>
      <c r="J5" s="32"/>
      <c r="K5" s="32" t="s">
        <v>119</v>
      </c>
      <c r="L5" s="35" t="s">
        <v>123</v>
      </c>
      <c r="M5" s="35" t="s">
        <v>121</v>
      </c>
    </row>
    <row r="6" spans="1:14" x14ac:dyDescent="0.25">
      <c r="A6" s="32" t="s">
        <v>115</v>
      </c>
      <c r="B6" s="32"/>
      <c r="C6" s="36">
        <v>6</v>
      </c>
      <c r="D6" s="36">
        <f>30.8</f>
        <v>30.8</v>
      </c>
      <c r="E6" s="36"/>
      <c r="F6" s="36">
        <f>C6*D6</f>
        <v>184.8</v>
      </c>
      <c r="I6" s="32" t="s">
        <v>115</v>
      </c>
      <c r="J6" s="32"/>
      <c r="K6" s="36">
        <v>11</v>
      </c>
      <c r="L6" s="83">
        <v>40.700000000000003</v>
      </c>
      <c r="M6" s="36">
        <f>L6*K6</f>
        <v>447.70000000000005</v>
      </c>
    </row>
    <row r="7" spans="1:14" x14ac:dyDescent="0.25">
      <c r="A7" s="32" t="s">
        <v>116</v>
      </c>
      <c r="B7" s="32"/>
      <c r="C7" s="36">
        <v>8</v>
      </c>
      <c r="D7" s="36">
        <v>20.350000000000001</v>
      </c>
      <c r="E7" s="36"/>
      <c r="F7" s="36">
        <f>C7*D7</f>
        <v>162.80000000000001</v>
      </c>
      <c r="I7" s="32" t="s">
        <v>116</v>
      </c>
      <c r="J7" s="32"/>
      <c r="K7" s="36">
        <v>1</v>
      </c>
      <c r="L7" s="36">
        <v>26.2</v>
      </c>
      <c r="M7" s="36">
        <f t="shared" ref="M7:M13" si="0">L7*K7</f>
        <v>26.2</v>
      </c>
    </row>
    <row r="8" spans="1:14" x14ac:dyDescent="0.25">
      <c r="A8" s="32" t="s">
        <v>117</v>
      </c>
      <c r="B8" s="32"/>
      <c r="C8" s="36">
        <v>0</v>
      </c>
      <c r="D8" s="36">
        <v>0</v>
      </c>
      <c r="E8" s="36"/>
      <c r="F8" s="36">
        <v>0</v>
      </c>
      <c r="I8" s="32" t="s">
        <v>117</v>
      </c>
      <c r="J8" s="32"/>
      <c r="K8" s="36">
        <v>4</v>
      </c>
      <c r="L8" s="36">
        <v>12.71</v>
      </c>
      <c r="M8" s="36">
        <f t="shared" si="0"/>
        <v>50.84</v>
      </c>
    </row>
    <row r="9" spans="1:14" x14ac:dyDescent="0.25">
      <c r="A9" s="32" t="s">
        <v>118</v>
      </c>
      <c r="B9" s="32"/>
      <c r="C9" s="36">
        <v>0</v>
      </c>
      <c r="D9" s="36">
        <v>0</v>
      </c>
      <c r="E9" s="36"/>
      <c r="F9" s="36">
        <v>0</v>
      </c>
      <c r="I9" s="32" t="s">
        <v>118</v>
      </c>
      <c r="J9" s="32"/>
      <c r="K9" s="36">
        <v>9</v>
      </c>
      <c r="L9" s="36">
        <v>11.64</v>
      </c>
      <c r="M9" s="36">
        <f t="shared" si="0"/>
        <v>104.76</v>
      </c>
    </row>
    <row r="10" spans="1:14" x14ac:dyDescent="0.25">
      <c r="A10" s="32" t="s">
        <v>124</v>
      </c>
      <c r="B10" s="32"/>
      <c r="C10" s="36">
        <v>7</v>
      </c>
      <c r="D10" s="36">
        <v>4.9000000000000004</v>
      </c>
      <c r="E10" s="36"/>
      <c r="F10" s="36">
        <f>C10*D10</f>
        <v>34.300000000000004</v>
      </c>
      <c r="I10" s="32" t="s">
        <v>124</v>
      </c>
      <c r="J10" s="32"/>
      <c r="K10" s="36">
        <v>0</v>
      </c>
      <c r="L10" s="36">
        <v>0</v>
      </c>
      <c r="M10" s="36">
        <f t="shared" si="0"/>
        <v>0</v>
      </c>
    </row>
    <row r="11" spans="1:14" x14ac:dyDescent="0.25">
      <c r="A11" s="32" t="s">
        <v>125</v>
      </c>
      <c r="B11" s="32"/>
      <c r="C11" s="36">
        <v>6</v>
      </c>
      <c r="D11" s="36">
        <v>3.17</v>
      </c>
      <c r="E11" s="36"/>
      <c r="F11" s="36">
        <f>C11*D11</f>
        <v>19.02</v>
      </c>
      <c r="I11" s="32" t="s">
        <v>125</v>
      </c>
      <c r="J11" s="32"/>
      <c r="K11" s="36">
        <v>1</v>
      </c>
      <c r="L11" s="36">
        <v>4.32</v>
      </c>
      <c r="M11" s="36">
        <v>4.32</v>
      </c>
    </row>
    <row r="12" spans="1:14" x14ac:dyDescent="0.25">
      <c r="A12" s="32" t="s">
        <v>126</v>
      </c>
      <c r="B12" s="32"/>
      <c r="C12" s="36">
        <v>0</v>
      </c>
      <c r="D12" s="36">
        <v>0</v>
      </c>
      <c r="E12" s="36"/>
      <c r="F12" s="36">
        <v>0</v>
      </c>
      <c r="I12" s="32" t="s">
        <v>126</v>
      </c>
      <c r="J12" s="32"/>
      <c r="K12" s="36">
        <v>1</v>
      </c>
      <c r="L12" s="36">
        <v>9.8699999999999992</v>
      </c>
      <c r="M12" s="36">
        <f t="shared" si="0"/>
        <v>9.8699999999999992</v>
      </c>
      <c r="N12" s="37"/>
    </row>
    <row r="13" spans="1:14" x14ac:dyDescent="0.25">
      <c r="A13" s="32" t="s">
        <v>127</v>
      </c>
      <c r="B13" s="32"/>
      <c r="C13" s="36">
        <v>0</v>
      </c>
      <c r="D13" s="36">
        <v>0</v>
      </c>
      <c r="E13" s="36"/>
      <c r="F13" s="36">
        <v>0</v>
      </c>
      <c r="I13" s="32" t="s">
        <v>127</v>
      </c>
      <c r="J13" s="7"/>
      <c r="K13" s="36">
        <v>0</v>
      </c>
      <c r="L13" s="2">
        <v>0</v>
      </c>
      <c r="M13" s="36">
        <f t="shared" si="0"/>
        <v>0</v>
      </c>
    </row>
    <row r="14" spans="1:14" x14ac:dyDescent="0.25">
      <c r="A14" s="32" t="s">
        <v>31</v>
      </c>
      <c r="B14" s="7"/>
      <c r="C14" s="2">
        <f>SUM(C6:C12)</f>
        <v>27</v>
      </c>
      <c r="D14" s="7"/>
      <c r="E14" s="7"/>
      <c r="F14" s="2">
        <f>SUM(F6:F13)</f>
        <v>400.92</v>
      </c>
      <c r="I14" s="32" t="s">
        <v>31</v>
      </c>
      <c r="J14" s="7"/>
      <c r="K14" s="2">
        <f>SUM(K6:K13)</f>
        <v>27</v>
      </c>
      <c r="L14" s="7"/>
      <c r="M14" s="2">
        <f>SUM(M6:M13)</f>
        <v>643.69000000000005</v>
      </c>
    </row>
    <row r="19" spans="1:13" x14ac:dyDescent="0.25">
      <c r="A19" s="32" t="s">
        <v>142</v>
      </c>
      <c r="B19" s="32"/>
      <c r="C19" s="32" t="s">
        <v>119</v>
      </c>
      <c r="D19" s="35" t="s">
        <v>120</v>
      </c>
      <c r="E19" s="35"/>
      <c r="F19" s="35" t="s">
        <v>130</v>
      </c>
      <c r="I19" s="32" t="s">
        <v>141</v>
      </c>
      <c r="J19" s="32"/>
      <c r="K19" s="32" t="s">
        <v>119</v>
      </c>
      <c r="L19" s="35" t="s">
        <v>123</v>
      </c>
      <c r="M19" s="35" t="s">
        <v>121</v>
      </c>
    </row>
    <row r="20" spans="1:13" x14ac:dyDescent="0.25">
      <c r="A20" s="32" t="s">
        <v>131</v>
      </c>
      <c r="B20" s="7"/>
      <c r="C20" s="2">
        <f t="shared" ref="C20:C27" si="1">C6</f>
        <v>6</v>
      </c>
      <c r="D20" s="2">
        <v>27.23</v>
      </c>
      <c r="E20" s="2"/>
      <c r="F20" s="2">
        <f>C20*D20</f>
        <v>163.38</v>
      </c>
      <c r="I20" s="32" t="s">
        <v>131</v>
      </c>
      <c r="J20" s="7"/>
      <c r="K20" s="2">
        <f t="shared" ref="K20:K27" si="2">K6</f>
        <v>11</v>
      </c>
      <c r="L20" s="2">
        <v>33.71</v>
      </c>
      <c r="M20" s="2">
        <f>K20*L20</f>
        <v>370.81</v>
      </c>
    </row>
    <row r="21" spans="1:13" x14ac:dyDescent="0.25">
      <c r="A21" s="32" t="s">
        <v>132</v>
      </c>
      <c r="B21" s="7"/>
      <c r="C21" s="2">
        <f t="shared" si="1"/>
        <v>8</v>
      </c>
      <c r="D21" s="2">
        <v>19.399999999999999</v>
      </c>
      <c r="E21" s="2"/>
      <c r="F21" s="2">
        <f>C21*D21</f>
        <v>155.19999999999999</v>
      </c>
      <c r="I21" s="32" t="s">
        <v>132</v>
      </c>
      <c r="J21" s="7"/>
      <c r="K21" s="2">
        <f t="shared" si="2"/>
        <v>1</v>
      </c>
      <c r="L21" s="2">
        <v>23.93</v>
      </c>
      <c r="M21" s="2">
        <f t="shared" ref="M21:M26" si="3">K21*L21</f>
        <v>23.93</v>
      </c>
    </row>
    <row r="22" spans="1:13" x14ac:dyDescent="0.25">
      <c r="A22" s="32" t="s">
        <v>137</v>
      </c>
      <c r="B22" s="7"/>
      <c r="C22" s="2">
        <f t="shared" si="1"/>
        <v>0</v>
      </c>
      <c r="D22" s="2">
        <v>0</v>
      </c>
      <c r="E22" s="2"/>
      <c r="F22" s="2">
        <v>0</v>
      </c>
      <c r="I22" s="32" t="s">
        <v>137</v>
      </c>
      <c r="J22" s="7"/>
      <c r="K22" s="2">
        <f t="shared" si="2"/>
        <v>4</v>
      </c>
      <c r="L22" s="2">
        <v>11.51</v>
      </c>
      <c r="M22" s="2">
        <f t="shared" si="3"/>
        <v>46.04</v>
      </c>
    </row>
    <row r="23" spans="1:13" x14ac:dyDescent="0.25">
      <c r="A23" s="32" t="s">
        <v>138</v>
      </c>
      <c r="B23" s="7"/>
      <c r="C23" s="2">
        <f t="shared" si="1"/>
        <v>0</v>
      </c>
      <c r="D23" s="2">
        <v>0</v>
      </c>
      <c r="E23" s="2"/>
      <c r="F23" s="2">
        <v>0</v>
      </c>
      <c r="I23" s="32" t="s">
        <v>138</v>
      </c>
      <c r="J23" s="7"/>
      <c r="K23" s="2">
        <f t="shared" si="2"/>
        <v>9</v>
      </c>
      <c r="L23" s="2">
        <v>10.72</v>
      </c>
      <c r="M23" s="2">
        <f t="shared" si="3"/>
        <v>96.48</v>
      </c>
    </row>
    <row r="24" spans="1:13" x14ac:dyDescent="0.25">
      <c r="A24" s="32" t="s">
        <v>139</v>
      </c>
      <c r="B24" s="7"/>
      <c r="C24" s="2">
        <f t="shared" si="1"/>
        <v>7</v>
      </c>
      <c r="D24" s="2">
        <v>5.51</v>
      </c>
      <c r="E24" s="2"/>
      <c r="F24" s="2">
        <f>C24*D24</f>
        <v>38.57</v>
      </c>
      <c r="I24" s="32" t="s">
        <v>139</v>
      </c>
      <c r="J24" s="7"/>
      <c r="K24" s="2">
        <f t="shared" si="2"/>
        <v>0</v>
      </c>
      <c r="L24" s="2">
        <v>0</v>
      </c>
      <c r="M24" s="2">
        <f t="shared" si="3"/>
        <v>0</v>
      </c>
    </row>
    <row r="25" spans="1:13" x14ac:dyDescent="0.25">
      <c r="A25" s="32" t="s">
        <v>140</v>
      </c>
      <c r="B25" s="7"/>
      <c r="C25" s="2">
        <f t="shared" si="1"/>
        <v>6</v>
      </c>
      <c r="D25" s="2">
        <v>3.77</v>
      </c>
      <c r="E25" s="2"/>
      <c r="F25" s="2">
        <f>C25*D25</f>
        <v>22.62</v>
      </c>
      <c r="I25" s="32" t="s">
        <v>140</v>
      </c>
      <c r="J25" s="7"/>
      <c r="K25" s="2">
        <f t="shared" si="2"/>
        <v>1</v>
      </c>
      <c r="L25" s="2">
        <v>4.95</v>
      </c>
      <c r="M25" s="2">
        <f t="shared" si="3"/>
        <v>4.95</v>
      </c>
    </row>
    <row r="26" spans="1:13" x14ac:dyDescent="0.25">
      <c r="A26" s="32" t="s">
        <v>133</v>
      </c>
      <c r="B26" s="7"/>
      <c r="C26" s="2">
        <f t="shared" si="1"/>
        <v>0</v>
      </c>
      <c r="D26" s="2">
        <v>0</v>
      </c>
      <c r="E26" s="2"/>
      <c r="F26" s="2">
        <v>0</v>
      </c>
      <c r="I26" s="32" t="s">
        <v>133</v>
      </c>
      <c r="J26" s="7"/>
      <c r="K26" s="2">
        <f t="shared" si="2"/>
        <v>1</v>
      </c>
      <c r="L26" s="2">
        <v>11.62</v>
      </c>
      <c r="M26" s="2">
        <f t="shared" si="3"/>
        <v>11.62</v>
      </c>
    </row>
    <row r="27" spans="1:13" x14ac:dyDescent="0.25">
      <c r="A27" s="32" t="s">
        <v>134</v>
      </c>
      <c r="B27" s="7"/>
      <c r="C27" s="2">
        <f t="shared" si="1"/>
        <v>0</v>
      </c>
      <c r="D27" s="2">
        <v>0</v>
      </c>
      <c r="E27" s="2"/>
      <c r="F27" s="2">
        <v>0</v>
      </c>
      <c r="I27" s="32" t="s">
        <v>134</v>
      </c>
      <c r="J27" s="7"/>
      <c r="K27" s="2">
        <f t="shared" si="2"/>
        <v>0</v>
      </c>
      <c r="L27" s="2">
        <v>0</v>
      </c>
      <c r="M27" s="2">
        <f>K27*L27</f>
        <v>0</v>
      </c>
    </row>
    <row r="28" spans="1:13" x14ac:dyDescent="0.25">
      <c r="A28" s="32" t="s">
        <v>31</v>
      </c>
      <c r="B28" s="7"/>
      <c r="C28" s="2">
        <f>SUM(C20:C27)</f>
        <v>27</v>
      </c>
      <c r="D28" s="7"/>
      <c r="E28" s="7"/>
      <c r="F28" s="2">
        <f>SUM(F20:F27)</f>
        <v>379.77</v>
      </c>
      <c r="I28" s="32" t="s">
        <v>31</v>
      </c>
      <c r="J28" s="7"/>
      <c r="K28" s="2">
        <f>K14</f>
        <v>27</v>
      </c>
      <c r="L28" s="7"/>
      <c r="M28" s="2">
        <f>SUM(M20:M27)</f>
        <v>553.83000000000004</v>
      </c>
    </row>
    <row r="29" spans="1:13" x14ac:dyDescent="0.25">
      <c r="F29" s="1"/>
      <c r="I29" s="7"/>
      <c r="J29" s="7"/>
      <c r="K29" s="7"/>
      <c r="L29" s="7"/>
      <c r="M29" s="7"/>
    </row>
    <row r="32" spans="1:13" x14ac:dyDescent="0.25">
      <c r="A32" s="32" t="s">
        <v>136</v>
      </c>
      <c r="B32" s="32"/>
      <c r="C32" s="32" t="s">
        <v>119</v>
      </c>
      <c r="D32" s="35" t="s">
        <v>120</v>
      </c>
      <c r="E32" s="35"/>
      <c r="F32" s="35" t="s">
        <v>130</v>
      </c>
      <c r="I32" s="32" t="s">
        <v>135</v>
      </c>
      <c r="J32" s="32"/>
      <c r="K32" s="32" t="s">
        <v>119</v>
      </c>
      <c r="L32" s="35" t="s">
        <v>123</v>
      </c>
      <c r="M32" s="35" t="s">
        <v>121</v>
      </c>
    </row>
    <row r="33" spans="1:13" x14ac:dyDescent="0.25">
      <c r="A33" s="32" t="s">
        <v>115</v>
      </c>
      <c r="B33" s="7"/>
      <c r="C33" s="2">
        <f>C20</f>
        <v>6</v>
      </c>
      <c r="D33" s="2">
        <v>44.53</v>
      </c>
      <c r="E33" s="2"/>
      <c r="F33" s="2">
        <f t="shared" ref="F33:F40" si="4">C33*D33</f>
        <v>267.18</v>
      </c>
      <c r="I33" s="32" t="s">
        <v>115</v>
      </c>
      <c r="J33" s="7"/>
      <c r="K33" s="2">
        <f>K6</f>
        <v>11</v>
      </c>
      <c r="L33" s="2">
        <v>51.04</v>
      </c>
      <c r="M33" s="2">
        <f>K33*L33</f>
        <v>561.43999999999994</v>
      </c>
    </row>
    <row r="34" spans="1:13" x14ac:dyDescent="0.25">
      <c r="A34" s="32" t="s">
        <v>116</v>
      </c>
      <c r="B34" s="7"/>
      <c r="C34" s="2">
        <f t="shared" ref="C34:D41" si="5">C21</f>
        <v>8</v>
      </c>
      <c r="D34" s="2">
        <v>38.86</v>
      </c>
      <c r="E34" s="2"/>
      <c r="F34" s="2">
        <f t="shared" si="4"/>
        <v>310.88</v>
      </c>
      <c r="I34" s="32" t="s">
        <v>116</v>
      </c>
      <c r="J34" s="7"/>
      <c r="K34" s="2">
        <f t="shared" ref="K34:K40" si="6">K7</f>
        <v>1</v>
      </c>
      <c r="L34" s="2">
        <v>41.26</v>
      </c>
      <c r="M34" s="2">
        <f t="shared" ref="M34:M38" si="7">K34*L34</f>
        <v>41.26</v>
      </c>
    </row>
    <row r="35" spans="1:13" x14ac:dyDescent="0.25">
      <c r="A35" s="32" t="s">
        <v>117</v>
      </c>
      <c r="B35" s="7"/>
      <c r="C35" s="2">
        <f t="shared" si="5"/>
        <v>0</v>
      </c>
      <c r="D35" s="2">
        <v>0</v>
      </c>
      <c r="E35" s="2"/>
      <c r="F35" s="2">
        <f t="shared" si="4"/>
        <v>0</v>
      </c>
      <c r="I35" s="32" t="s">
        <v>117</v>
      </c>
      <c r="J35" s="7"/>
      <c r="K35" s="2">
        <f t="shared" si="6"/>
        <v>4</v>
      </c>
      <c r="L35" s="2">
        <v>12.22</v>
      </c>
      <c r="M35" s="2">
        <f t="shared" si="7"/>
        <v>48.88</v>
      </c>
    </row>
    <row r="36" spans="1:13" x14ac:dyDescent="0.25">
      <c r="A36" s="32" t="s">
        <v>118</v>
      </c>
      <c r="B36" s="7"/>
      <c r="C36" s="2">
        <f t="shared" si="5"/>
        <v>0</v>
      </c>
      <c r="D36" s="2">
        <v>0</v>
      </c>
      <c r="E36" s="2"/>
      <c r="F36" s="2">
        <f t="shared" si="4"/>
        <v>0</v>
      </c>
      <c r="I36" s="32" t="s">
        <v>118</v>
      </c>
      <c r="J36" s="7"/>
      <c r="K36" s="2">
        <f t="shared" si="6"/>
        <v>9</v>
      </c>
      <c r="L36" s="2">
        <v>11.7</v>
      </c>
      <c r="M36" s="2">
        <f t="shared" si="7"/>
        <v>105.3</v>
      </c>
    </row>
    <row r="37" spans="1:13" x14ac:dyDescent="0.25">
      <c r="A37" s="32" t="s">
        <v>124</v>
      </c>
      <c r="B37" s="7"/>
      <c r="C37" s="2">
        <f t="shared" si="5"/>
        <v>7</v>
      </c>
      <c r="D37" s="2">
        <v>7.64</v>
      </c>
      <c r="E37" s="2"/>
      <c r="F37" s="2">
        <f t="shared" si="4"/>
        <v>53.48</v>
      </c>
      <c r="I37" s="32" t="s">
        <v>124</v>
      </c>
      <c r="J37" s="7"/>
      <c r="K37" s="2">
        <f t="shared" si="6"/>
        <v>0</v>
      </c>
      <c r="L37" s="2">
        <v>0</v>
      </c>
      <c r="M37" s="2">
        <f t="shared" si="7"/>
        <v>0</v>
      </c>
    </row>
    <row r="38" spans="1:13" x14ac:dyDescent="0.25">
      <c r="A38" s="32" t="s">
        <v>125</v>
      </c>
      <c r="B38" s="7"/>
      <c r="C38" s="2">
        <f t="shared" si="5"/>
        <v>6</v>
      </c>
      <c r="D38" s="2">
        <v>6.32</v>
      </c>
      <c r="E38" s="2"/>
      <c r="F38" s="2">
        <f t="shared" si="4"/>
        <v>37.92</v>
      </c>
      <c r="I38" s="32" t="s">
        <v>125</v>
      </c>
      <c r="J38" s="7"/>
      <c r="K38" s="2">
        <f t="shared" si="6"/>
        <v>1</v>
      </c>
      <c r="L38" s="2">
        <v>7.22</v>
      </c>
      <c r="M38" s="2">
        <f t="shared" si="7"/>
        <v>7.22</v>
      </c>
    </row>
    <row r="39" spans="1:13" x14ac:dyDescent="0.25">
      <c r="A39" s="32" t="s">
        <v>126</v>
      </c>
      <c r="B39" s="7"/>
      <c r="C39" s="2">
        <f t="shared" si="5"/>
        <v>0</v>
      </c>
      <c r="D39" s="2">
        <v>0</v>
      </c>
      <c r="E39" s="2"/>
      <c r="F39" s="2">
        <f t="shared" si="4"/>
        <v>0</v>
      </c>
      <c r="I39" s="32" t="s">
        <v>126</v>
      </c>
      <c r="J39" s="7"/>
      <c r="K39" s="2">
        <f t="shared" si="6"/>
        <v>1</v>
      </c>
      <c r="L39" s="2">
        <v>28.17</v>
      </c>
      <c r="M39" s="2">
        <v>0</v>
      </c>
    </row>
    <row r="40" spans="1:13" x14ac:dyDescent="0.25">
      <c r="A40" s="32" t="s">
        <v>127</v>
      </c>
      <c r="B40" s="7"/>
      <c r="C40" s="2">
        <f t="shared" si="5"/>
        <v>0</v>
      </c>
      <c r="D40" s="2">
        <v>0</v>
      </c>
      <c r="E40" s="2"/>
      <c r="F40" s="2">
        <f t="shared" si="4"/>
        <v>0</v>
      </c>
      <c r="I40" s="32" t="s">
        <v>127</v>
      </c>
      <c r="J40" s="7"/>
      <c r="K40" s="2">
        <f t="shared" si="6"/>
        <v>0</v>
      </c>
      <c r="L40" s="2">
        <v>0</v>
      </c>
      <c r="M40" s="2">
        <f>K40*L40</f>
        <v>0</v>
      </c>
    </row>
    <row r="41" spans="1:13" x14ac:dyDescent="0.25">
      <c r="A41" s="32" t="s">
        <v>31</v>
      </c>
      <c r="B41" s="7"/>
      <c r="C41" s="2">
        <f t="shared" si="5"/>
        <v>27</v>
      </c>
      <c r="D41" s="2">
        <f t="shared" si="5"/>
        <v>0</v>
      </c>
      <c r="E41" s="2"/>
      <c r="F41" s="2">
        <f>SUM(F33:F40)</f>
        <v>669.45999999999992</v>
      </c>
      <c r="I41" s="32" t="s">
        <v>31</v>
      </c>
      <c r="J41" s="7"/>
      <c r="K41" s="2">
        <f>K28</f>
        <v>27</v>
      </c>
      <c r="L41" s="7"/>
      <c r="M41" s="2">
        <f>SUM(M33:M40)</f>
        <v>764.09999999999991</v>
      </c>
    </row>
    <row r="45" spans="1:13" x14ac:dyDescent="0.25">
      <c r="A45" s="38" t="s">
        <v>143</v>
      </c>
      <c r="B45" s="39" t="s">
        <v>144</v>
      </c>
      <c r="C45" s="39" t="s">
        <v>145</v>
      </c>
    </row>
    <row r="46" spans="1:13" x14ac:dyDescent="0.25">
      <c r="A46" s="38">
        <v>6</v>
      </c>
      <c r="B46" s="38">
        <f>F28</f>
        <v>379.77</v>
      </c>
      <c r="C46" s="38">
        <f>M28</f>
        <v>553.83000000000004</v>
      </c>
    </row>
    <row r="47" spans="1:13" x14ac:dyDescent="0.25">
      <c r="A47" s="38">
        <v>5</v>
      </c>
      <c r="B47" s="38">
        <f>$F$14</f>
        <v>400.92</v>
      </c>
      <c r="C47" s="38">
        <f>$M$14</f>
        <v>643.69000000000005</v>
      </c>
    </row>
    <row r="48" spans="1:13" x14ac:dyDescent="0.25">
      <c r="A48" s="38">
        <v>4</v>
      </c>
      <c r="B48" s="38">
        <f>$F$14</f>
        <v>400.92</v>
      </c>
      <c r="C48" s="38">
        <f>$M$14</f>
        <v>643.69000000000005</v>
      </c>
    </row>
    <row r="49" spans="1:10" x14ac:dyDescent="0.25">
      <c r="A49" s="38">
        <v>3</v>
      </c>
      <c r="B49" s="38">
        <f>$F$14</f>
        <v>400.92</v>
      </c>
      <c r="C49" s="38">
        <f>$M$14</f>
        <v>643.69000000000005</v>
      </c>
    </row>
    <row r="50" spans="1:10" x14ac:dyDescent="0.25">
      <c r="A50" s="38">
        <v>2</v>
      </c>
      <c r="B50" s="38">
        <f>$F$14</f>
        <v>400.92</v>
      </c>
      <c r="C50" s="38">
        <f>$M$14</f>
        <v>643.69000000000005</v>
      </c>
    </row>
    <row r="51" spans="1:10" x14ac:dyDescent="0.25">
      <c r="A51" s="38">
        <v>1</v>
      </c>
      <c r="B51" s="38">
        <f>F41</f>
        <v>669.45999999999992</v>
      </c>
      <c r="C51" s="38">
        <f>M41</f>
        <v>764.09999999999991</v>
      </c>
    </row>
    <row r="54" spans="1:10" x14ac:dyDescent="0.25">
      <c r="A54" s="45" t="s">
        <v>146</v>
      </c>
    </row>
    <row r="56" spans="1:10" x14ac:dyDescent="0.25">
      <c r="A56" s="35" t="s">
        <v>143</v>
      </c>
      <c r="B56" s="35" t="s">
        <v>9</v>
      </c>
      <c r="C56" s="35" t="s">
        <v>120</v>
      </c>
      <c r="D56" s="35" t="s">
        <v>147</v>
      </c>
      <c r="E56" s="35" t="s">
        <v>99</v>
      </c>
      <c r="F56" s="35" t="s">
        <v>149</v>
      </c>
      <c r="G56" s="35" t="s">
        <v>240</v>
      </c>
      <c r="H56" s="35" t="s">
        <v>148</v>
      </c>
      <c r="J56" s="46"/>
    </row>
    <row r="57" spans="1:10" x14ac:dyDescent="0.25">
      <c r="A57" s="35">
        <v>6</v>
      </c>
      <c r="B57" s="47">
        <f>'masse e forze'!F20</f>
        <v>552.03785922828695</v>
      </c>
      <c r="C57" s="35">
        <f>B46</f>
        <v>379.77</v>
      </c>
      <c r="D57" s="47">
        <f t="shared" ref="D57:D62" si="8">B57/C57</f>
        <v>1.453611025695255</v>
      </c>
      <c r="E57" s="47">
        <f>'masse e forze'!E2</f>
        <v>461.00917431192659</v>
      </c>
      <c r="F57" s="47">
        <f>F58+D57</f>
        <v>22.132255912583172</v>
      </c>
      <c r="G57" s="47">
        <f>'masse e forze'!E20*F57</f>
        <v>12217.843173875011</v>
      </c>
      <c r="H57" s="50">
        <f>(E57*(F57^2))/1000</f>
        <v>225.8192364857675</v>
      </c>
    </row>
    <row r="58" spans="1:10" x14ac:dyDescent="0.25">
      <c r="A58" s="35">
        <v>5</v>
      </c>
      <c r="B58" s="47">
        <f>'masse e forze'!F21</f>
        <v>1138.2031932763284</v>
      </c>
      <c r="C58" s="35">
        <f t="shared" ref="C58:C61" si="9">B47</f>
        <v>400.92</v>
      </c>
      <c r="D58" s="47">
        <f t="shared" si="8"/>
        <v>2.8389783330248637</v>
      </c>
      <c r="E58" s="47">
        <f>'masse e forze'!E3</f>
        <v>586.23853211009168</v>
      </c>
      <c r="F58" s="47">
        <f>F59+D58</f>
        <v>20.678644886887916</v>
      </c>
      <c r="G58" s="47">
        <f>'masse e forze'!E21*F58</f>
        <v>12121.104787783483</v>
      </c>
      <c r="H58" s="50">
        <f t="shared" ref="H58:H62" si="10">(E58*(F58^2))/1000</f>
        <v>250.67932149979089</v>
      </c>
    </row>
    <row r="59" spans="1:10" x14ac:dyDescent="0.25">
      <c r="A59" s="35">
        <v>4</v>
      </c>
      <c r="B59" s="47">
        <f>'masse e forze'!F22</f>
        <v>1608.5394493388289</v>
      </c>
      <c r="C59" s="35">
        <f t="shared" si="9"/>
        <v>400.92</v>
      </c>
      <c r="D59" s="47">
        <f t="shared" si="8"/>
        <v>4.0121207456321182</v>
      </c>
      <c r="E59" s="47">
        <f>'masse e forze'!E4</f>
        <v>586.23853211009168</v>
      </c>
      <c r="F59" s="47">
        <f>F60+D59</f>
        <v>17.839666553863051</v>
      </c>
      <c r="G59" s="47">
        <f>'masse e forze'!E22*F59</f>
        <v>8390.6419763473568</v>
      </c>
      <c r="H59" s="50">
        <f t="shared" si="10"/>
        <v>186.57258354053187</v>
      </c>
    </row>
    <row r="60" spans="1:10" x14ac:dyDescent="0.25">
      <c r="A60" s="35">
        <v>3</v>
      </c>
      <c r="B60" s="47">
        <f>'masse e forze'!F23</f>
        <v>1963.0466274157884</v>
      </c>
      <c r="C60" s="35">
        <f t="shared" si="9"/>
        <v>400.92</v>
      </c>
      <c r="D60" s="47">
        <f t="shared" si="8"/>
        <v>4.8963549521495269</v>
      </c>
      <c r="E60" s="47">
        <f>'masse e forze'!E5</f>
        <v>586.23853211009168</v>
      </c>
      <c r="F60" s="47">
        <f>F61+D60</f>
        <v>13.827545808230933</v>
      </c>
      <c r="G60" s="47">
        <f>'masse e forze'!E23*F60</f>
        <v>4901.9642442058366</v>
      </c>
      <c r="H60" s="50">
        <f t="shared" si="10"/>
        <v>112.08940710761942</v>
      </c>
    </row>
    <row r="61" spans="1:10" x14ac:dyDescent="0.25">
      <c r="A61" s="35">
        <v>2</v>
      </c>
      <c r="B61" s="47">
        <f>'masse e forze'!F24</f>
        <v>2201.7247275072064</v>
      </c>
      <c r="C61" s="35">
        <f t="shared" si="9"/>
        <v>400.92</v>
      </c>
      <c r="D61" s="47">
        <f t="shared" si="8"/>
        <v>5.491680952577088</v>
      </c>
      <c r="E61" s="47">
        <f>'masse e forze'!E6</f>
        <v>586.23853211009168</v>
      </c>
      <c r="F61" s="47">
        <f>F62+D61</f>
        <v>8.9311908560814057</v>
      </c>
      <c r="G61" s="47">
        <f>'masse e forze'!E24*F61</f>
        <v>2131.6796650833562</v>
      </c>
      <c r="H61" s="50">
        <f t="shared" si="10"/>
        <v>46.762002476012469</v>
      </c>
      <c r="I61" t="s">
        <v>181</v>
      </c>
      <c r="J61" t="s">
        <v>182</v>
      </c>
    </row>
    <row r="62" spans="1:10" x14ac:dyDescent="0.25">
      <c r="A62" s="35">
        <v>1</v>
      </c>
      <c r="B62" s="47">
        <f>'masse e forze'!F25</f>
        <v>2302.6143000000002</v>
      </c>
      <c r="C62" s="35">
        <f>B51</f>
        <v>669.45999999999992</v>
      </c>
      <c r="D62" s="47">
        <f t="shared" si="8"/>
        <v>3.4395099035043177</v>
      </c>
      <c r="E62" s="47">
        <f>'masse e forze'!E7</f>
        <v>481.44750254841995</v>
      </c>
      <c r="F62" s="47">
        <f>D62</f>
        <v>3.4395099035043177</v>
      </c>
      <c r="G62" s="47">
        <f>'masse e forze'!E25*F62</f>
        <v>347.01068374928104</v>
      </c>
      <c r="H62" s="50">
        <f t="shared" si="10"/>
        <v>5.6956339063491459</v>
      </c>
    </row>
    <row r="63" spans="1:10" x14ac:dyDescent="0.25">
      <c r="A63" s="7"/>
      <c r="B63" s="7"/>
      <c r="C63" s="7"/>
      <c r="D63" s="7"/>
      <c r="E63" s="7"/>
      <c r="F63" s="32" t="s">
        <v>31</v>
      </c>
      <c r="G63" s="47">
        <f>SUM(G57:G62)</f>
        <v>40110.244531044322</v>
      </c>
      <c r="H63" s="50">
        <f>SUM(H57:H62)</f>
        <v>827.61818501607138</v>
      </c>
    </row>
    <row r="64" spans="1:10" x14ac:dyDescent="0.25">
      <c r="A64" s="7"/>
      <c r="B64" s="7"/>
      <c r="C64" s="7"/>
      <c r="D64" s="7"/>
      <c r="E64" s="7"/>
      <c r="F64" s="7" t="s">
        <v>150</v>
      </c>
      <c r="G64" s="84">
        <f>2*PI()*SQRT(H63/G63)</f>
        <v>0.90254159444778037</v>
      </c>
      <c r="H64" s="7"/>
    </row>
    <row r="68" spans="1:9" x14ac:dyDescent="0.25">
      <c r="A68" s="35" t="s">
        <v>143</v>
      </c>
      <c r="B68" s="35" t="s">
        <v>9</v>
      </c>
      <c r="C68" s="35" t="s">
        <v>123</v>
      </c>
      <c r="D68" s="35" t="s">
        <v>147</v>
      </c>
      <c r="E68" s="35" t="s">
        <v>99</v>
      </c>
      <c r="F68" s="35" t="s">
        <v>238</v>
      </c>
      <c r="G68" s="35" t="s">
        <v>239</v>
      </c>
      <c r="H68" s="35" t="s">
        <v>148</v>
      </c>
    </row>
    <row r="69" spans="1:9" x14ac:dyDescent="0.25">
      <c r="A69" s="35">
        <v>6</v>
      </c>
      <c r="B69" s="47">
        <f>B57</f>
        <v>552.03785922828695</v>
      </c>
      <c r="C69" s="35">
        <f>C46</f>
        <v>553.83000000000004</v>
      </c>
      <c r="D69" s="47">
        <f t="shared" ref="D69:D74" si="11">B69/C69</f>
        <v>0.99676409589275938</v>
      </c>
      <c r="E69" s="47">
        <f>E57</f>
        <v>461.00917431192659</v>
      </c>
      <c r="F69" s="47">
        <f>F70+D69</f>
        <v>14.747595906238487</v>
      </c>
      <c r="G69" s="47">
        <f>F69*'masse e forze'!E20</f>
        <v>8141.2312728437428</v>
      </c>
      <c r="H69" s="48">
        <f>(E69*(F69^2))/1000</f>
        <v>100.26561602695904</v>
      </c>
    </row>
    <row r="70" spans="1:9" x14ac:dyDescent="0.25">
      <c r="A70" s="35">
        <v>5</v>
      </c>
      <c r="B70" s="47">
        <f t="shared" ref="B70:B74" si="12">B58</f>
        <v>1138.2031932763284</v>
      </c>
      <c r="C70" s="35">
        <f t="shared" ref="C70:C74" si="13">C47</f>
        <v>643.69000000000005</v>
      </c>
      <c r="D70" s="47">
        <f t="shared" si="11"/>
        <v>1.7682474378603494</v>
      </c>
      <c r="E70" s="47">
        <f t="shared" ref="E70:E74" si="14">E58</f>
        <v>586.23853211009168</v>
      </c>
      <c r="F70" s="47">
        <f>F71+D70</f>
        <v>13.750831810345728</v>
      </c>
      <c r="G70" s="47">
        <f>F70*'masse e forze'!E21</f>
        <v>8060.2609215497405</v>
      </c>
      <c r="H70" s="48">
        <f t="shared" ref="H70:H74" si="15">(E70*(F70^2))/1000</f>
        <v>110.84913296277963</v>
      </c>
    </row>
    <row r="71" spans="1:9" x14ac:dyDescent="0.25">
      <c r="A71" s="35">
        <v>4</v>
      </c>
      <c r="B71" s="47">
        <f t="shared" si="12"/>
        <v>1608.5394493388289</v>
      </c>
      <c r="C71" s="35">
        <f t="shared" si="13"/>
        <v>643.69000000000005</v>
      </c>
      <c r="D71" s="47">
        <f t="shared" si="11"/>
        <v>2.4989349676689536</v>
      </c>
      <c r="E71" s="47">
        <f t="shared" si="14"/>
        <v>586.23853211009168</v>
      </c>
      <c r="F71" s="47">
        <f>F72+D71</f>
        <v>11.982584372485379</v>
      </c>
      <c r="G71" s="47">
        <f>F71*'masse e forze'!E22</f>
        <v>5635.8438717077997</v>
      </c>
      <c r="H71" s="48">
        <f t="shared" si="15"/>
        <v>84.17349334655411</v>
      </c>
    </row>
    <row r="72" spans="1:9" x14ac:dyDescent="0.25">
      <c r="A72" s="35">
        <v>3</v>
      </c>
      <c r="B72" s="47">
        <f t="shared" si="12"/>
        <v>1963.0466274157884</v>
      </c>
      <c r="C72" s="35">
        <f t="shared" si="13"/>
        <v>643.69000000000005</v>
      </c>
      <c r="D72" s="47">
        <f t="shared" si="11"/>
        <v>3.0496770610321557</v>
      </c>
      <c r="E72" s="47">
        <f t="shared" si="14"/>
        <v>586.23853211009168</v>
      </c>
      <c r="F72" s="47">
        <f>F73+D72</f>
        <v>9.4836494048164255</v>
      </c>
      <c r="G72" s="47">
        <f>F72*'masse e forze'!E23</f>
        <v>3362.0217883727059</v>
      </c>
      <c r="H72" s="48">
        <f t="shared" si="15"/>
        <v>52.726062619624294</v>
      </c>
    </row>
    <row r="73" spans="1:9" x14ac:dyDescent="0.25">
      <c r="A73" s="35">
        <v>2</v>
      </c>
      <c r="B73" s="47">
        <f t="shared" si="12"/>
        <v>2201.7247275072064</v>
      </c>
      <c r="C73" s="35">
        <f t="shared" si="13"/>
        <v>643.69000000000005</v>
      </c>
      <c r="D73" s="47">
        <f t="shared" si="11"/>
        <v>3.4204737179499545</v>
      </c>
      <c r="E73" s="47">
        <f t="shared" si="14"/>
        <v>586.23853211009168</v>
      </c>
      <c r="F73" s="47">
        <f>F74+D73</f>
        <v>6.4339723437842693</v>
      </c>
      <c r="G73" s="47">
        <f>F73*'masse e forze'!E24</f>
        <v>1535.6482950551581</v>
      </c>
      <c r="H73" s="48">
        <f t="shared" si="15"/>
        <v>24.267930345918494</v>
      </c>
    </row>
    <row r="74" spans="1:9" x14ac:dyDescent="0.25">
      <c r="A74" s="35">
        <v>1</v>
      </c>
      <c r="B74" s="47">
        <f t="shared" si="12"/>
        <v>2302.6143000000002</v>
      </c>
      <c r="C74" s="35">
        <f t="shared" si="13"/>
        <v>764.09999999999991</v>
      </c>
      <c r="D74" s="47">
        <f t="shared" si="11"/>
        <v>3.0134986258343153</v>
      </c>
      <c r="E74" s="47">
        <f t="shared" si="14"/>
        <v>481.44750254841995</v>
      </c>
      <c r="F74" s="47">
        <f>D74</f>
        <v>3.0134986258343153</v>
      </c>
      <c r="G74" s="47">
        <f>F74*'masse e forze'!E25</f>
        <v>304.03058806804563</v>
      </c>
      <c r="H74" s="48">
        <f t="shared" si="15"/>
        <v>4.3721085270557349</v>
      </c>
    </row>
    <row r="75" spans="1:9" x14ac:dyDescent="0.25">
      <c r="A75" s="7"/>
      <c r="B75" s="7"/>
      <c r="C75" s="7"/>
      <c r="D75" s="7"/>
      <c r="E75" s="7"/>
      <c r="F75" s="32" t="s">
        <v>31</v>
      </c>
      <c r="G75" s="49">
        <f>SUM(G69:G74)</f>
        <v>27039.036737597191</v>
      </c>
      <c r="H75" s="48">
        <f>SUM(H69:H74)</f>
        <v>376.65434382889134</v>
      </c>
    </row>
    <row r="76" spans="1:9" x14ac:dyDescent="0.25">
      <c r="A76" s="7"/>
      <c r="B76" s="7"/>
      <c r="C76" s="7"/>
      <c r="D76" s="7"/>
      <c r="E76" s="7"/>
      <c r="F76" s="7" t="s">
        <v>153</v>
      </c>
      <c r="G76" s="84">
        <f>2*PI()*SQRT(H75/G75)</f>
        <v>0.74157614436184294</v>
      </c>
      <c r="H76" s="7"/>
      <c r="I76" s="85">
        <v>0.70899999999999996</v>
      </c>
    </row>
    <row r="79" spans="1:9" x14ac:dyDescent="0.25">
      <c r="B79" s="52" t="s">
        <v>143</v>
      </c>
      <c r="C79" s="52" t="s">
        <v>154</v>
      </c>
      <c r="D79" s="52" t="s">
        <v>155</v>
      </c>
      <c r="E79" s="51"/>
      <c r="F79" s="60" t="s">
        <v>183</v>
      </c>
      <c r="G79" s="39"/>
    </row>
    <row r="80" spans="1:9" x14ac:dyDescent="0.25">
      <c r="B80" s="8">
        <v>6</v>
      </c>
      <c r="C80" s="10">
        <f>F28/D20</f>
        <v>13.946749908189496</v>
      </c>
      <c r="D80" s="10">
        <f>M28/L20</f>
        <v>16.429249480866211</v>
      </c>
      <c r="F80" s="39" t="s">
        <v>184</v>
      </c>
      <c r="G80" s="39">
        <v>13</v>
      </c>
    </row>
    <row r="81" spans="2:7" x14ac:dyDescent="0.25">
      <c r="B81" s="8" t="s">
        <v>156</v>
      </c>
      <c r="C81" s="10">
        <f>F14/D6</f>
        <v>13.016883116883117</v>
      </c>
      <c r="D81" s="10">
        <f>M14/L6</f>
        <v>15.815479115479116</v>
      </c>
      <c r="F81" s="39" t="s">
        <v>185</v>
      </c>
      <c r="G81" s="39">
        <v>13</v>
      </c>
    </row>
    <row r="82" spans="2:7" x14ac:dyDescent="0.25">
      <c r="B82" s="8">
        <v>1</v>
      </c>
      <c r="C82" s="21">
        <f>F41/D33</f>
        <v>15.033909723781719</v>
      </c>
      <c r="D82" s="10">
        <f>M41/L33</f>
        <v>14.970611285266456</v>
      </c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1"/>
  <sheetViews>
    <sheetView topLeftCell="A62" zoomScale="62" zoomScaleNormal="62" workbookViewId="0">
      <selection activeCell="K86" sqref="K86"/>
    </sheetView>
  </sheetViews>
  <sheetFormatPr defaultRowHeight="15" x14ac:dyDescent="0.25"/>
  <cols>
    <col min="1" max="1" width="9.28515625" bestFit="1" customWidth="1"/>
    <col min="14" max="14" width="11.28515625" customWidth="1"/>
  </cols>
  <sheetData>
    <row r="1" spans="1:19" x14ac:dyDescent="0.25">
      <c r="A1" s="15" t="s">
        <v>157</v>
      </c>
      <c r="B1" s="15"/>
    </row>
    <row r="4" spans="1:19" x14ac:dyDescent="0.25">
      <c r="M4" s="15" t="s">
        <v>163</v>
      </c>
      <c r="N4" s="15">
        <f>N39/M39</f>
        <v>12.049754798962388</v>
      </c>
      <c r="O4" s="15" t="s">
        <v>164</v>
      </c>
      <c r="P4" s="15">
        <v>11.99</v>
      </c>
      <c r="R4" s="15" t="s">
        <v>247</v>
      </c>
      <c r="S4">
        <f>N4-P4</f>
        <v>5.9754798962387667E-2</v>
      </c>
    </row>
    <row r="7" spans="1:19" x14ac:dyDescent="0.25">
      <c r="B7" t="s">
        <v>159</v>
      </c>
      <c r="C7">
        <v>0.15</v>
      </c>
      <c r="E7" s="53">
        <v>5.8250000000000002</v>
      </c>
      <c r="G7" s="1">
        <v>12.9</v>
      </c>
      <c r="I7" s="53">
        <v>18.562200000000001</v>
      </c>
      <c r="K7" s="1">
        <v>25.83</v>
      </c>
      <c r="M7" s="39" t="s">
        <v>160</v>
      </c>
      <c r="N7" s="39" t="s">
        <v>161</v>
      </c>
      <c r="O7" s="39" t="s">
        <v>162</v>
      </c>
    </row>
    <row r="8" spans="1:19" x14ac:dyDescent="0.25">
      <c r="A8" t="s">
        <v>158</v>
      </c>
      <c r="M8" s="39"/>
      <c r="N8" s="39"/>
      <c r="O8" s="39"/>
    </row>
    <row r="9" spans="1:19" x14ac:dyDescent="0.25">
      <c r="A9" s="1">
        <v>25.03</v>
      </c>
      <c r="G9" s="2">
        <f>C22</f>
        <v>20.350000000000001</v>
      </c>
      <c r="H9" s="1"/>
      <c r="I9" s="2">
        <f>E22</f>
        <v>30.8</v>
      </c>
      <c r="J9" s="1"/>
      <c r="K9" s="2">
        <f>K19</f>
        <v>20.350000000000001</v>
      </c>
      <c r="M9" s="38">
        <f>G9+I9+K9</f>
        <v>71.5</v>
      </c>
      <c r="N9" s="55">
        <f>M9*A9</f>
        <v>1789.645</v>
      </c>
      <c r="O9" s="39">
        <f>M9*(A9^2)</f>
        <v>44794.814350000001</v>
      </c>
    </row>
    <row r="10" spans="1:19" x14ac:dyDescent="0.25">
      <c r="G10" s="1"/>
      <c r="H10" s="1"/>
      <c r="I10" s="1"/>
      <c r="J10" s="1"/>
      <c r="K10" s="1"/>
      <c r="M10" s="38"/>
      <c r="N10" s="55"/>
      <c r="O10" s="39"/>
    </row>
    <row r="11" spans="1:19" x14ac:dyDescent="0.25">
      <c r="G11" s="1"/>
      <c r="H11" s="1"/>
      <c r="I11" s="1"/>
      <c r="J11" s="1"/>
      <c r="K11" s="1"/>
      <c r="M11" s="38"/>
      <c r="N11" s="55"/>
      <c r="O11" s="39"/>
    </row>
    <row r="12" spans="1:19" x14ac:dyDescent="0.25">
      <c r="G12" s="1"/>
      <c r="H12" s="1"/>
      <c r="I12" s="1"/>
      <c r="J12" s="1"/>
      <c r="K12" s="1"/>
      <c r="M12" s="38"/>
      <c r="N12" s="55"/>
      <c r="O12" s="39"/>
    </row>
    <row r="13" spans="1:19" x14ac:dyDescent="0.25">
      <c r="G13" s="1"/>
      <c r="H13" s="1"/>
      <c r="I13" s="1"/>
      <c r="J13" s="1"/>
      <c r="K13" s="1"/>
      <c r="M13" s="38"/>
      <c r="N13" s="55"/>
      <c r="O13" s="39"/>
    </row>
    <row r="14" spans="1:19" x14ac:dyDescent="0.25">
      <c r="A14" s="54">
        <v>21.352599999999999</v>
      </c>
      <c r="G14" s="2">
        <v>3.17</v>
      </c>
      <c r="H14" s="1"/>
      <c r="I14" s="2">
        <v>4.9000000000000004</v>
      </c>
      <c r="J14" s="1"/>
      <c r="K14" s="2">
        <v>3.17</v>
      </c>
      <c r="M14" s="38">
        <f>G14+I14+K14</f>
        <v>11.24</v>
      </c>
      <c r="N14" s="55">
        <f>M14*A14</f>
        <v>240.00322399999999</v>
      </c>
      <c r="O14" s="39">
        <f t="shared" ref="O14:O37" si="0">M14*(A14^2)</f>
        <v>5124.6928407823998</v>
      </c>
    </row>
    <row r="15" spans="1:19" x14ac:dyDescent="0.25">
      <c r="G15" s="1"/>
      <c r="H15" s="1"/>
      <c r="I15" s="1"/>
      <c r="J15" s="1"/>
      <c r="K15" s="1"/>
      <c r="M15" s="38"/>
      <c r="N15" s="55"/>
      <c r="O15" s="39"/>
    </row>
    <row r="16" spans="1:19" x14ac:dyDescent="0.25">
      <c r="G16" s="1"/>
      <c r="H16" s="1"/>
      <c r="I16" s="1"/>
      <c r="J16" s="1"/>
      <c r="K16" s="1"/>
      <c r="M16" s="38"/>
      <c r="N16" s="55"/>
      <c r="O16" s="39"/>
    </row>
    <row r="17" spans="1:15" x14ac:dyDescent="0.25">
      <c r="G17" s="1"/>
      <c r="H17" s="1"/>
      <c r="I17" s="1"/>
      <c r="J17" s="1"/>
      <c r="K17" s="1"/>
      <c r="M17" s="38"/>
      <c r="N17" s="55"/>
      <c r="O17" s="39"/>
    </row>
    <row r="18" spans="1:15" x14ac:dyDescent="0.25">
      <c r="G18" s="1"/>
      <c r="H18" s="1"/>
      <c r="I18" s="1"/>
      <c r="J18" s="1"/>
      <c r="K18" s="1"/>
      <c r="M18" s="38"/>
      <c r="N18" s="55"/>
      <c r="O18" s="39"/>
    </row>
    <row r="19" spans="1:15" x14ac:dyDescent="0.25">
      <c r="A19" s="53">
        <v>16.060099999999998</v>
      </c>
      <c r="G19" s="2">
        <f>C22</f>
        <v>20.350000000000001</v>
      </c>
      <c r="H19" s="1"/>
      <c r="I19" s="2">
        <f>E22</f>
        <v>30.8</v>
      </c>
      <c r="J19" s="1"/>
      <c r="K19" s="2">
        <f>C22</f>
        <v>20.350000000000001</v>
      </c>
      <c r="M19" s="38">
        <f>G19+I19+K19</f>
        <v>71.5</v>
      </c>
      <c r="N19" s="55">
        <f>M19*A19</f>
        <v>1148.2971499999999</v>
      </c>
      <c r="O19" s="39">
        <f t="shared" si="0"/>
        <v>18441.767058714995</v>
      </c>
    </row>
    <row r="20" spans="1:15" x14ac:dyDescent="0.25">
      <c r="A20" s="16"/>
      <c r="M20" s="38"/>
      <c r="N20" s="55"/>
      <c r="O20" s="39"/>
    </row>
    <row r="21" spans="1:15" x14ac:dyDescent="0.25">
      <c r="A21" s="16"/>
      <c r="M21" s="38"/>
      <c r="N21" s="55"/>
      <c r="O21" s="39"/>
    </row>
    <row r="22" spans="1:15" x14ac:dyDescent="0.25">
      <c r="A22" s="53">
        <v>14.23</v>
      </c>
      <c r="C22" s="2">
        <f>C37</f>
        <v>20.350000000000001</v>
      </c>
      <c r="D22" s="1"/>
      <c r="E22" s="2">
        <f>E37</f>
        <v>30.8</v>
      </c>
      <c r="F22" s="1"/>
      <c r="G22" s="2">
        <f>C37</f>
        <v>20.350000000000001</v>
      </c>
      <c r="M22" s="38">
        <f>C22+E22+G22</f>
        <v>71.5</v>
      </c>
      <c r="N22" s="55">
        <f>M22*A22</f>
        <v>1017.4450000000001</v>
      </c>
      <c r="O22" s="39">
        <f t="shared" si="0"/>
        <v>14478.242350000002</v>
      </c>
    </row>
    <row r="23" spans="1:15" x14ac:dyDescent="0.25">
      <c r="A23" s="53"/>
      <c r="M23" s="38"/>
      <c r="N23" s="55"/>
      <c r="O23" s="39"/>
    </row>
    <row r="24" spans="1:15" x14ac:dyDescent="0.25">
      <c r="A24" s="53"/>
      <c r="M24" s="38"/>
      <c r="N24" s="55"/>
      <c r="O24" s="39"/>
    </row>
    <row r="25" spans="1:15" x14ac:dyDescent="0.25">
      <c r="A25" s="53"/>
      <c r="M25" s="38"/>
      <c r="N25" s="55"/>
      <c r="O25" s="39"/>
    </row>
    <row r="26" spans="1:15" x14ac:dyDescent="0.25">
      <c r="A26" s="53"/>
      <c r="M26" s="38"/>
      <c r="N26" s="55"/>
      <c r="O26" s="39"/>
    </row>
    <row r="27" spans="1:15" x14ac:dyDescent="0.25">
      <c r="A27" s="53">
        <v>10.428000000000001</v>
      </c>
      <c r="C27" s="2">
        <v>3.17</v>
      </c>
      <c r="D27" s="1"/>
      <c r="E27" s="2">
        <v>4.9000000000000004</v>
      </c>
      <c r="F27" s="1"/>
      <c r="G27" s="2">
        <v>4.9000000000000004</v>
      </c>
      <c r="H27" s="1"/>
      <c r="I27" s="2">
        <v>4.9000000000000004</v>
      </c>
      <c r="J27" s="1"/>
      <c r="K27" s="2">
        <v>3.17</v>
      </c>
      <c r="M27" s="38">
        <f>C27+E27+G27+I27+K27</f>
        <v>21.04</v>
      </c>
      <c r="N27" s="55">
        <f>M27*A27</f>
        <v>219.40512000000001</v>
      </c>
      <c r="O27" s="39">
        <f t="shared" si="0"/>
        <v>2287.9565913600004</v>
      </c>
    </row>
    <row r="28" spans="1:15" x14ac:dyDescent="0.25">
      <c r="A28" s="53"/>
      <c r="M28" s="38"/>
      <c r="N28" s="55"/>
      <c r="O28" s="39"/>
    </row>
    <row r="29" spans="1:15" x14ac:dyDescent="0.25">
      <c r="A29" s="53"/>
      <c r="C29" s="1"/>
      <c r="M29" s="38"/>
      <c r="N29" s="55"/>
      <c r="O29" s="39"/>
    </row>
    <row r="30" spans="1:15" x14ac:dyDescent="0.25">
      <c r="A30" s="53"/>
      <c r="C30" s="1"/>
      <c r="M30" s="38"/>
      <c r="N30" s="55"/>
      <c r="O30" s="39"/>
    </row>
    <row r="31" spans="1:15" x14ac:dyDescent="0.25">
      <c r="A31" s="53"/>
      <c r="C31" s="1"/>
      <c r="M31" s="38"/>
      <c r="N31" s="55"/>
      <c r="O31" s="39"/>
    </row>
    <row r="32" spans="1:15" x14ac:dyDescent="0.25">
      <c r="A32" s="53">
        <v>6.18</v>
      </c>
      <c r="C32" s="2">
        <v>3.17</v>
      </c>
      <c r="E32" s="2">
        <v>4.9000000000000004</v>
      </c>
      <c r="F32" s="1"/>
      <c r="G32" s="2">
        <v>4.9000000000000004</v>
      </c>
      <c r="H32" s="1"/>
      <c r="I32" s="2">
        <v>4.9000000000000004</v>
      </c>
      <c r="J32" s="1"/>
      <c r="K32" s="2">
        <v>3.17</v>
      </c>
      <c r="M32" s="38">
        <f>C32+E32+G32+I32+K32</f>
        <v>21.04</v>
      </c>
      <c r="N32" s="55">
        <f>M32*A32</f>
        <v>130.02719999999999</v>
      </c>
      <c r="O32" s="39">
        <f t="shared" si="0"/>
        <v>803.56809599999997</v>
      </c>
    </row>
    <row r="33" spans="1:15" x14ac:dyDescent="0.25">
      <c r="A33" s="1"/>
      <c r="M33" s="38"/>
      <c r="N33" s="55"/>
      <c r="O33" s="39"/>
    </row>
    <row r="34" spans="1:15" x14ac:dyDescent="0.25">
      <c r="A34" s="1"/>
      <c r="M34" s="38"/>
      <c r="N34" s="55"/>
      <c r="O34" s="39"/>
    </row>
    <row r="35" spans="1:15" x14ac:dyDescent="0.25">
      <c r="A35" s="1"/>
      <c r="M35" s="38"/>
      <c r="N35" s="55"/>
      <c r="O35" s="39"/>
    </row>
    <row r="36" spans="1:15" x14ac:dyDescent="0.25">
      <c r="A36" s="1"/>
      <c r="M36" s="38"/>
      <c r="N36" s="55"/>
      <c r="O36" s="39"/>
    </row>
    <row r="37" spans="1:15" x14ac:dyDescent="0.25">
      <c r="A37" s="1">
        <v>2.15</v>
      </c>
      <c r="C37" s="2">
        <f>rigidezze!D7</f>
        <v>20.350000000000001</v>
      </c>
      <c r="E37" s="2">
        <f>rigidezze!D6</f>
        <v>30.8</v>
      </c>
      <c r="F37" s="1"/>
      <c r="G37" s="2">
        <f>E37</f>
        <v>30.8</v>
      </c>
      <c r="H37" s="1"/>
      <c r="I37" s="2">
        <f>G37</f>
        <v>30.8</v>
      </c>
      <c r="J37" s="1"/>
      <c r="K37" s="2">
        <f>C37</f>
        <v>20.350000000000001</v>
      </c>
      <c r="M37" s="38">
        <f>C37+E37+G37+I37+K37</f>
        <v>133.1</v>
      </c>
      <c r="N37" s="55">
        <f>M37*A37</f>
        <v>286.16499999999996</v>
      </c>
      <c r="O37" s="39">
        <f t="shared" si="0"/>
        <v>615.25474999999994</v>
      </c>
    </row>
    <row r="39" spans="1:15" x14ac:dyDescent="0.25">
      <c r="M39" s="56">
        <f>SUM(M9:M37)</f>
        <v>400.91999999999996</v>
      </c>
      <c r="N39" s="57">
        <f>SUM(N9:N37)</f>
        <v>4830.9876940000004</v>
      </c>
      <c r="O39" s="56">
        <f>SUM(O9:O37)</f>
        <v>86546.296036857384</v>
      </c>
    </row>
    <row r="42" spans="1:15" x14ac:dyDescent="0.25">
      <c r="A42" s="15" t="s">
        <v>165</v>
      </c>
      <c r="B42" s="15"/>
      <c r="C42" s="15"/>
    </row>
    <row r="46" spans="1:15" x14ac:dyDescent="0.25">
      <c r="B46" t="s">
        <v>159</v>
      </c>
      <c r="C46">
        <v>0.15</v>
      </c>
      <c r="E46" s="53">
        <v>5.8250000000000002</v>
      </c>
      <c r="G46" s="1">
        <v>12.9</v>
      </c>
      <c r="I46" s="53">
        <v>18.562200000000001</v>
      </c>
      <c r="K46" s="1">
        <v>25.83</v>
      </c>
    </row>
    <row r="47" spans="1:15" x14ac:dyDescent="0.25">
      <c r="A47" t="s">
        <v>158</v>
      </c>
    </row>
    <row r="48" spans="1:15" x14ac:dyDescent="0.25">
      <c r="A48" s="1">
        <v>25.03</v>
      </c>
      <c r="G48" s="2">
        <f>rigidezze!L9</f>
        <v>11.64</v>
      </c>
      <c r="H48" s="1"/>
      <c r="I48" s="2">
        <f>G48</f>
        <v>11.64</v>
      </c>
      <c r="J48" s="1"/>
      <c r="K48" s="2">
        <f>G48</f>
        <v>11.64</v>
      </c>
    </row>
    <row r="49" spans="1:11" x14ac:dyDescent="0.25">
      <c r="G49" s="1"/>
      <c r="H49" s="1"/>
      <c r="I49" s="1"/>
      <c r="J49" s="1"/>
      <c r="K49" s="1"/>
    </row>
    <row r="50" spans="1:11" x14ac:dyDescent="0.25">
      <c r="G50" s="1"/>
      <c r="H50" s="1"/>
      <c r="I50" s="1"/>
      <c r="J50" s="1"/>
      <c r="K50" s="1"/>
    </row>
    <row r="51" spans="1:11" x14ac:dyDescent="0.25">
      <c r="G51" s="1"/>
      <c r="H51" s="1"/>
      <c r="I51" s="1"/>
      <c r="J51" s="1"/>
      <c r="K51" s="1"/>
    </row>
    <row r="52" spans="1:11" x14ac:dyDescent="0.25">
      <c r="G52" s="1"/>
      <c r="H52" s="1"/>
      <c r="I52" s="1"/>
      <c r="J52" s="1"/>
      <c r="K52" s="1"/>
    </row>
    <row r="53" spans="1:11" x14ac:dyDescent="0.25">
      <c r="A53" s="54">
        <v>21.352599999999999</v>
      </c>
      <c r="G53" s="12">
        <f>C71</f>
        <v>40.700000000000003</v>
      </c>
      <c r="H53" s="1"/>
      <c r="I53" s="12">
        <f>C71</f>
        <v>40.700000000000003</v>
      </c>
      <c r="J53" s="1"/>
      <c r="K53" s="12">
        <f>C71</f>
        <v>40.700000000000003</v>
      </c>
    </row>
    <row r="54" spans="1:11" x14ac:dyDescent="0.25">
      <c r="G54" s="1"/>
      <c r="H54" s="1"/>
      <c r="I54" s="1"/>
      <c r="J54" s="1"/>
      <c r="K54" s="1"/>
    </row>
    <row r="55" spans="1:11" x14ac:dyDescent="0.25">
      <c r="G55" s="1"/>
      <c r="H55" s="1"/>
      <c r="I55" s="1"/>
      <c r="J55" s="1"/>
      <c r="K55" s="1"/>
    </row>
    <row r="56" spans="1:11" x14ac:dyDescent="0.25">
      <c r="G56" s="1"/>
      <c r="H56" s="1"/>
      <c r="I56" s="1"/>
      <c r="J56" s="1"/>
      <c r="K56" s="1"/>
    </row>
    <row r="57" spans="1:11" x14ac:dyDescent="0.25">
      <c r="G57" s="1"/>
      <c r="H57" s="1"/>
      <c r="I57" s="1"/>
      <c r="J57" s="1"/>
      <c r="K57" s="1"/>
    </row>
    <row r="58" spans="1:11" x14ac:dyDescent="0.25">
      <c r="A58" s="53">
        <v>16.060099999999998</v>
      </c>
      <c r="G58" s="2">
        <f>G61</f>
        <v>12.71</v>
      </c>
      <c r="H58" s="1"/>
      <c r="I58" s="2">
        <f>G61</f>
        <v>12.71</v>
      </c>
      <c r="J58" s="1"/>
      <c r="K58" s="2">
        <f>G61</f>
        <v>12.71</v>
      </c>
    </row>
    <row r="59" spans="1:11" x14ac:dyDescent="0.25">
      <c r="A59" s="16"/>
    </row>
    <row r="60" spans="1:11" x14ac:dyDescent="0.25">
      <c r="A60" s="16"/>
    </row>
    <row r="61" spans="1:11" x14ac:dyDescent="0.25">
      <c r="A61" s="53">
        <v>14.23</v>
      </c>
      <c r="C61" s="2">
        <f>C76</f>
        <v>11.64</v>
      </c>
      <c r="D61" s="1"/>
      <c r="E61" s="2">
        <v>4.32</v>
      </c>
      <c r="F61" s="1"/>
      <c r="G61" s="2">
        <f>rigidezze!L8</f>
        <v>12.71</v>
      </c>
    </row>
    <row r="62" spans="1:11" x14ac:dyDescent="0.25">
      <c r="A62" s="53"/>
    </row>
    <row r="63" spans="1:11" x14ac:dyDescent="0.25">
      <c r="A63" s="53"/>
    </row>
    <row r="64" spans="1:11" x14ac:dyDescent="0.25">
      <c r="A64" s="53"/>
    </row>
    <row r="65" spans="1:19" x14ac:dyDescent="0.25">
      <c r="A65" s="53"/>
    </row>
    <row r="66" spans="1:19" x14ac:dyDescent="0.25">
      <c r="A66" s="53">
        <v>10.428000000000001</v>
      </c>
      <c r="C66" s="12">
        <f>rigidezze!L6</f>
        <v>40.700000000000003</v>
      </c>
      <c r="D66" s="1"/>
      <c r="E66" s="2">
        <v>9.8699999999999992</v>
      </c>
      <c r="F66" s="1"/>
      <c r="G66" s="12">
        <f>C71</f>
        <v>40.700000000000003</v>
      </c>
      <c r="H66" s="1"/>
      <c r="I66" s="12">
        <f>C71</f>
        <v>40.700000000000003</v>
      </c>
      <c r="J66" s="1"/>
      <c r="K66" s="12">
        <f>C71</f>
        <v>40.700000000000003</v>
      </c>
    </row>
    <row r="67" spans="1:19" x14ac:dyDescent="0.25">
      <c r="A67" s="53"/>
    </row>
    <row r="68" spans="1:19" x14ac:dyDescent="0.25">
      <c r="A68" s="53"/>
      <c r="C68" s="1"/>
    </row>
    <row r="69" spans="1:19" x14ac:dyDescent="0.25">
      <c r="A69" s="53"/>
      <c r="C69" s="1"/>
    </row>
    <row r="70" spans="1:19" x14ac:dyDescent="0.25">
      <c r="A70" s="53"/>
      <c r="C70" s="1"/>
    </row>
    <row r="71" spans="1:19" x14ac:dyDescent="0.25">
      <c r="A71" s="53">
        <v>6.18</v>
      </c>
      <c r="C71" s="12">
        <f>rigidezze!L6</f>
        <v>40.700000000000003</v>
      </c>
      <c r="E71" s="2">
        <f>rigidezze!L7</f>
        <v>26.2</v>
      </c>
      <c r="F71" s="1"/>
      <c r="G71" s="12">
        <f>C71</f>
        <v>40.700000000000003</v>
      </c>
      <c r="H71" s="1"/>
      <c r="I71" s="12">
        <f>C71</f>
        <v>40.700000000000003</v>
      </c>
      <c r="J71" s="1"/>
      <c r="K71" s="12">
        <f>C71</f>
        <v>40.700000000000003</v>
      </c>
    </row>
    <row r="72" spans="1:19" x14ac:dyDescent="0.25">
      <c r="A72" s="1"/>
    </row>
    <row r="73" spans="1:19" x14ac:dyDescent="0.25">
      <c r="A73" s="1"/>
    </row>
    <row r="74" spans="1:19" x14ac:dyDescent="0.25">
      <c r="A74" s="1"/>
    </row>
    <row r="75" spans="1:19" x14ac:dyDescent="0.25">
      <c r="A75" s="1"/>
    </row>
    <row r="76" spans="1:19" x14ac:dyDescent="0.25">
      <c r="A76" s="1">
        <v>2.15</v>
      </c>
      <c r="C76" s="2">
        <f>rigidezze!L9</f>
        <v>11.64</v>
      </c>
      <c r="E76" s="2">
        <f>C76</f>
        <v>11.64</v>
      </c>
      <c r="F76" s="1"/>
      <c r="G76" s="2">
        <f>C76</f>
        <v>11.64</v>
      </c>
      <c r="H76" s="1"/>
      <c r="I76" s="2">
        <f>C76</f>
        <v>11.64</v>
      </c>
      <c r="J76" s="1"/>
      <c r="K76" s="2">
        <f>C76</f>
        <v>11.64</v>
      </c>
    </row>
    <row r="78" spans="1:19" x14ac:dyDescent="0.25">
      <c r="L78" s="15" t="s">
        <v>31</v>
      </c>
    </row>
    <row r="79" spans="1:19" x14ac:dyDescent="0.25">
      <c r="A79" s="39" t="s">
        <v>160</v>
      </c>
      <c r="B79" s="39"/>
      <c r="C79" s="55">
        <f>C61+C66+C71+C76</f>
        <v>104.68</v>
      </c>
      <c r="D79" s="55"/>
      <c r="E79" s="55">
        <f>E61+E66+E71+E76</f>
        <v>52.03</v>
      </c>
      <c r="F79" s="55"/>
      <c r="G79" s="55">
        <f>G76+G71+G66+G61+G58+G53+G48</f>
        <v>170.8</v>
      </c>
      <c r="H79" s="55"/>
      <c r="I79" s="55">
        <f>I48+I53+I58+I66+I71+I76</f>
        <v>158.09000000000003</v>
      </c>
      <c r="J79" s="55"/>
      <c r="K79" s="55">
        <f>K48+K53+K58+K66+K71+K76</f>
        <v>158.09000000000003</v>
      </c>
      <c r="L79" s="58">
        <f>C79+E79+G79+I79+K79</f>
        <v>643.69000000000005</v>
      </c>
      <c r="M79" s="15" t="s">
        <v>168</v>
      </c>
      <c r="N79" s="15">
        <f>L80/L79</f>
        <v>14.820891497459959</v>
      </c>
      <c r="O79" s="15" t="s">
        <v>169</v>
      </c>
      <c r="P79" s="15">
        <v>15.12</v>
      </c>
      <c r="R79" t="s">
        <v>247</v>
      </c>
      <c r="S79">
        <f>P79-N79</f>
        <v>0.29910850254004018</v>
      </c>
    </row>
    <row r="80" spans="1:19" x14ac:dyDescent="0.25">
      <c r="A80" s="39" t="s">
        <v>173</v>
      </c>
      <c r="B80" s="39"/>
      <c r="C80" s="55">
        <f>C79*C46</f>
        <v>15.702</v>
      </c>
      <c r="D80" s="55"/>
      <c r="E80" s="55">
        <f>E79*E46</f>
        <v>303.07474999999999</v>
      </c>
      <c r="F80" s="55"/>
      <c r="G80" s="55">
        <f>G79*G46</f>
        <v>2203.3200000000002</v>
      </c>
      <c r="H80" s="55"/>
      <c r="I80" s="55">
        <f>I79*I46</f>
        <v>2934.4981980000007</v>
      </c>
      <c r="J80" s="55"/>
      <c r="K80" s="55">
        <f>K79*K46</f>
        <v>4083.4647000000004</v>
      </c>
      <c r="L80" s="58">
        <f>C80+E80+G80+I80+K80</f>
        <v>9540.0596480000022</v>
      </c>
    </row>
    <row r="81" spans="1:12" x14ac:dyDescent="0.25">
      <c r="A81" s="39" t="s">
        <v>174</v>
      </c>
      <c r="B81" s="39"/>
      <c r="C81" s="38">
        <f>C79*(C46^2)</f>
        <v>2.3553000000000002</v>
      </c>
      <c r="D81" s="38"/>
      <c r="E81" s="38">
        <f>E79*(E46^2)</f>
        <v>1765.41041875</v>
      </c>
      <c r="F81" s="38"/>
      <c r="G81" s="38">
        <f>G79*(G46^2)</f>
        <v>28422.828000000001</v>
      </c>
      <c r="H81" s="38"/>
      <c r="I81" s="38">
        <f>I79*(I46^2)</f>
        <v>54470.742450915619</v>
      </c>
      <c r="J81" s="38"/>
      <c r="K81" s="38">
        <f>K79*(K46^2)</f>
        <v>105475.893201</v>
      </c>
      <c r="L81" s="15">
        <f>C81+E81+G81+I81+K81</f>
        <v>190137.22937066562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A61" zoomScale="95" zoomScaleNormal="95" workbookViewId="0">
      <selection activeCell="N78" sqref="N78:T79"/>
    </sheetView>
  </sheetViews>
  <sheetFormatPr defaultRowHeight="15" x14ac:dyDescent="0.25"/>
  <sheetData>
    <row r="1" spans="1:19" x14ac:dyDescent="0.25">
      <c r="A1" s="15" t="s">
        <v>170</v>
      </c>
      <c r="B1" s="15"/>
      <c r="C1" s="15"/>
    </row>
    <row r="4" spans="1:19" x14ac:dyDescent="0.25">
      <c r="M4" s="56" t="s">
        <v>171</v>
      </c>
      <c r="N4" s="56">
        <f>N38/M38</f>
        <v>12.309637518298331</v>
      </c>
      <c r="O4" s="56" t="s">
        <v>172</v>
      </c>
      <c r="P4" s="59">
        <v>11.9132</v>
      </c>
      <c r="Q4" s="1"/>
      <c r="R4" s="86" t="s">
        <v>202</v>
      </c>
      <c r="S4" s="87">
        <f>N4-P4</f>
        <v>0.39643751829833107</v>
      </c>
    </row>
    <row r="7" spans="1:19" x14ac:dyDescent="0.25">
      <c r="B7" t="s">
        <v>159</v>
      </c>
      <c r="C7">
        <v>0.15</v>
      </c>
      <c r="E7" s="53">
        <v>5.8250000000000002</v>
      </c>
      <c r="G7" s="1">
        <v>12.9</v>
      </c>
      <c r="I7" s="53">
        <v>18.562200000000001</v>
      </c>
      <c r="K7" s="1">
        <v>25.83</v>
      </c>
      <c r="M7" s="38" t="s">
        <v>160</v>
      </c>
      <c r="N7" s="38" t="s">
        <v>166</v>
      </c>
      <c r="O7" s="38" t="s">
        <v>167</v>
      </c>
    </row>
    <row r="8" spans="1:19" x14ac:dyDescent="0.25">
      <c r="A8" t="s">
        <v>158</v>
      </c>
      <c r="M8" s="38"/>
      <c r="N8" s="38"/>
      <c r="O8" s="38"/>
    </row>
    <row r="9" spans="1:19" x14ac:dyDescent="0.25">
      <c r="A9" s="1">
        <v>25.03</v>
      </c>
      <c r="G9" s="2">
        <f>C22</f>
        <v>38.86</v>
      </c>
      <c r="H9" s="1"/>
      <c r="I9" s="2">
        <f>E37</f>
        <v>44.53</v>
      </c>
      <c r="J9" s="1"/>
      <c r="K9" s="2">
        <f>C37</f>
        <v>38.86</v>
      </c>
      <c r="M9" s="38">
        <f>G9+I9+K9</f>
        <v>122.25</v>
      </c>
      <c r="N9" s="38">
        <f>M9*A9</f>
        <v>3059.9175</v>
      </c>
      <c r="O9" s="38">
        <f>M9*(A9^2)</f>
        <v>76589.735025000002</v>
      </c>
    </row>
    <row r="10" spans="1:19" x14ac:dyDescent="0.25">
      <c r="G10" s="1"/>
      <c r="H10" s="1"/>
      <c r="I10" s="1"/>
      <c r="J10" s="1"/>
      <c r="K10" s="1"/>
      <c r="M10" s="38"/>
      <c r="N10" s="38"/>
      <c r="O10" s="38"/>
    </row>
    <row r="11" spans="1:19" x14ac:dyDescent="0.25">
      <c r="G11" s="1"/>
      <c r="H11" s="1"/>
      <c r="I11" s="1"/>
      <c r="J11" s="1"/>
      <c r="K11" s="1"/>
      <c r="M11" s="38"/>
      <c r="N11" s="38"/>
      <c r="O11" s="38"/>
    </row>
    <row r="12" spans="1:19" x14ac:dyDescent="0.25">
      <c r="G12" s="1"/>
      <c r="H12" s="1"/>
      <c r="I12" s="1"/>
      <c r="J12" s="1"/>
      <c r="K12" s="1"/>
      <c r="M12" s="38"/>
      <c r="N12" s="38"/>
      <c r="O12" s="38"/>
    </row>
    <row r="13" spans="1:19" x14ac:dyDescent="0.25">
      <c r="G13" s="1"/>
      <c r="H13" s="1"/>
      <c r="I13" s="1"/>
      <c r="J13" s="1"/>
      <c r="K13" s="1"/>
      <c r="M13" s="38"/>
      <c r="N13" s="38"/>
      <c r="O13" s="38"/>
    </row>
    <row r="14" spans="1:19" x14ac:dyDescent="0.25">
      <c r="A14" s="54">
        <v>21.352599999999999</v>
      </c>
      <c r="G14" s="2">
        <v>6.32</v>
      </c>
      <c r="H14" s="1"/>
      <c r="I14" s="2">
        <v>7.64</v>
      </c>
      <c r="J14" s="1"/>
      <c r="K14" s="2">
        <v>6.32</v>
      </c>
      <c r="M14" s="38">
        <f>G14+I14+K14</f>
        <v>20.28</v>
      </c>
      <c r="N14" s="38">
        <f t="shared" ref="N14:N37" si="0">M14*A14</f>
        <v>433.03072800000001</v>
      </c>
      <c r="O14" s="38">
        <f t="shared" ref="O14:O37" si="1">M14*(A14^2)</f>
        <v>9246.3319226927997</v>
      </c>
    </row>
    <row r="15" spans="1:19" x14ac:dyDescent="0.25">
      <c r="G15" s="1"/>
      <c r="H15" s="1"/>
      <c r="I15" s="1"/>
      <c r="J15" s="1"/>
      <c r="K15" s="1"/>
      <c r="M15" s="38"/>
      <c r="N15" s="38"/>
      <c r="O15" s="38"/>
    </row>
    <row r="16" spans="1:19" x14ac:dyDescent="0.25">
      <c r="G16" s="1"/>
      <c r="H16" s="1"/>
      <c r="I16" s="1"/>
      <c r="J16" s="1"/>
      <c r="K16" s="1"/>
      <c r="M16" s="38"/>
      <c r="N16" s="38"/>
      <c r="O16" s="38"/>
    </row>
    <row r="17" spans="1:15" x14ac:dyDescent="0.25">
      <c r="G17" s="1"/>
      <c r="H17" s="1"/>
      <c r="I17" s="1"/>
      <c r="J17" s="1"/>
      <c r="K17" s="1"/>
      <c r="M17" s="38"/>
      <c r="N17" s="38"/>
      <c r="O17" s="38"/>
    </row>
    <row r="18" spans="1:15" x14ac:dyDescent="0.25">
      <c r="G18" s="1"/>
      <c r="H18" s="1"/>
      <c r="I18" s="1"/>
      <c r="J18" s="1"/>
      <c r="K18" s="1"/>
      <c r="M18" s="38"/>
      <c r="N18" s="38"/>
      <c r="O18" s="38"/>
    </row>
    <row r="19" spans="1:15" x14ac:dyDescent="0.25">
      <c r="A19" s="53">
        <v>16.060099999999998</v>
      </c>
      <c r="G19" s="2">
        <f>C22</f>
        <v>38.86</v>
      </c>
      <c r="H19" s="1"/>
      <c r="I19" s="2">
        <f>E22</f>
        <v>44.53</v>
      </c>
      <c r="J19" s="1"/>
      <c r="K19" s="2">
        <f>C37</f>
        <v>38.86</v>
      </c>
      <c r="M19" s="38">
        <f>G19+I19+K19</f>
        <v>122.25</v>
      </c>
      <c r="N19" s="38">
        <f t="shared" si="0"/>
        <v>1963.3472249999998</v>
      </c>
      <c r="O19" s="38">
        <f t="shared" si="1"/>
        <v>31531.552768222493</v>
      </c>
    </row>
    <row r="20" spans="1:15" x14ac:dyDescent="0.25">
      <c r="A20" s="16"/>
      <c r="M20" s="38"/>
      <c r="N20" s="38"/>
      <c r="O20" s="38"/>
    </row>
    <row r="21" spans="1:15" x14ac:dyDescent="0.25">
      <c r="A21" s="16"/>
      <c r="M21" s="38"/>
      <c r="N21" s="38"/>
      <c r="O21" s="38"/>
    </row>
    <row r="22" spans="1:15" x14ac:dyDescent="0.25">
      <c r="A22" s="53">
        <v>14.23</v>
      </c>
      <c r="C22" s="2">
        <f>C37</f>
        <v>38.86</v>
      </c>
      <c r="D22" s="1"/>
      <c r="E22" s="2">
        <f>E37</f>
        <v>44.53</v>
      </c>
      <c r="F22" s="1"/>
      <c r="G22" s="2">
        <f>C37</f>
        <v>38.86</v>
      </c>
      <c r="M22" s="38">
        <f>C22+E22+G22</f>
        <v>122.25</v>
      </c>
      <c r="N22" s="38">
        <f t="shared" si="0"/>
        <v>1739.6175000000001</v>
      </c>
      <c r="O22" s="38">
        <f t="shared" si="1"/>
        <v>24754.757025000003</v>
      </c>
    </row>
    <row r="23" spans="1:15" x14ac:dyDescent="0.25">
      <c r="A23" s="53"/>
      <c r="M23" s="38"/>
      <c r="N23" s="38"/>
      <c r="O23" s="38"/>
    </row>
    <row r="24" spans="1:15" x14ac:dyDescent="0.25">
      <c r="A24" s="53"/>
      <c r="M24" s="38"/>
      <c r="N24" s="38"/>
      <c r="O24" s="38"/>
    </row>
    <row r="25" spans="1:15" x14ac:dyDescent="0.25">
      <c r="A25" s="53"/>
      <c r="M25" s="38"/>
      <c r="N25" s="38"/>
      <c r="O25" s="38"/>
    </row>
    <row r="26" spans="1:15" x14ac:dyDescent="0.25">
      <c r="A26" s="53"/>
      <c r="M26" s="38"/>
      <c r="N26" s="38"/>
      <c r="O26" s="38"/>
    </row>
    <row r="27" spans="1:15" x14ac:dyDescent="0.25">
      <c r="A27" s="53">
        <v>10.428000000000001</v>
      </c>
      <c r="C27" s="2">
        <v>6.32</v>
      </c>
      <c r="D27" s="1"/>
      <c r="E27" s="2">
        <v>7.64</v>
      </c>
      <c r="F27" s="1"/>
      <c r="G27" s="2">
        <v>7.64</v>
      </c>
      <c r="H27" s="1"/>
      <c r="I27" s="2">
        <v>7.64</v>
      </c>
      <c r="J27" s="1"/>
      <c r="K27" s="2">
        <v>6.32</v>
      </c>
      <c r="M27" s="38">
        <f>C27+E27+G27+I27+K27</f>
        <v>35.56</v>
      </c>
      <c r="N27" s="38">
        <f t="shared" si="0"/>
        <v>370.81968000000006</v>
      </c>
      <c r="O27" s="38">
        <f t="shared" si="1"/>
        <v>3866.9076230400005</v>
      </c>
    </row>
    <row r="28" spans="1:15" x14ac:dyDescent="0.25">
      <c r="A28" s="53"/>
      <c r="M28" s="38"/>
      <c r="N28" s="38"/>
      <c r="O28" s="38"/>
    </row>
    <row r="29" spans="1:15" x14ac:dyDescent="0.25">
      <c r="A29" s="53"/>
      <c r="C29" s="1"/>
      <c r="M29" s="38"/>
      <c r="N29" s="38"/>
      <c r="O29" s="38"/>
    </row>
    <row r="30" spans="1:15" x14ac:dyDescent="0.25">
      <c r="A30" s="53"/>
      <c r="C30" s="1"/>
      <c r="M30" s="38"/>
      <c r="N30" s="38"/>
      <c r="O30" s="38"/>
    </row>
    <row r="31" spans="1:15" x14ac:dyDescent="0.25">
      <c r="A31" s="53"/>
      <c r="C31" s="1"/>
      <c r="M31" s="38"/>
      <c r="N31" s="38"/>
      <c r="O31" s="38"/>
    </row>
    <row r="32" spans="1:15" x14ac:dyDescent="0.25">
      <c r="A32" s="53">
        <v>6.18</v>
      </c>
      <c r="C32" s="2">
        <v>6.32</v>
      </c>
      <c r="E32" s="2">
        <v>7.64</v>
      </c>
      <c r="F32" s="1"/>
      <c r="G32" s="2">
        <v>7.64</v>
      </c>
      <c r="H32" s="1"/>
      <c r="I32" s="2">
        <v>7.64</v>
      </c>
      <c r="J32" s="1"/>
      <c r="K32" s="2">
        <v>6.32</v>
      </c>
      <c r="M32" s="38">
        <f>C32+E32+G32+I32+K32</f>
        <v>35.56</v>
      </c>
      <c r="N32" s="38">
        <f t="shared" si="0"/>
        <v>219.76080000000002</v>
      </c>
      <c r="O32" s="38">
        <f t="shared" si="1"/>
        <v>1358.121744</v>
      </c>
    </row>
    <row r="33" spans="1:15" x14ac:dyDescent="0.25">
      <c r="A33" s="1"/>
      <c r="M33" s="38"/>
      <c r="N33" s="38"/>
      <c r="O33" s="38"/>
    </row>
    <row r="34" spans="1:15" x14ac:dyDescent="0.25">
      <c r="A34" s="1"/>
      <c r="M34" s="38"/>
      <c r="N34" s="38"/>
      <c r="O34" s="38"/>
    </row>
    <row r="35" spans="1:15" x14ac:dyDescent="0.25">
      <c r="A35" s="1"/>
      <c r="M35" s="38"/>
      <c r="N35" s="38"/>
      <c r="O35" s="38"/>
    </row>
    <row r="36" spans="1:15" x14ac:dyDescent="0.25">
      <c r="A36" s="1"/>
      <c r="M36" s="38"/>
      <c r="N36" s="38"/>
      <c r="O36" s="38"/>
    </row>
    <row r="37" spans="1:15" x14ac:dyDescent="0.25">
      <c r="A37" s="1">
        <v>2.15</v>
      </c>
      <c r="C37" s="2">
        <f>rigidezze!D34</f>
        <v>38.86</v>
      </c>
      <c r="E37" s="2">
        <f>rigidezze!D33</f>
        <v>44.53</v>
      </c>
      <c r="F37" s="1"/>
      <c r="G37" s="2">
        <f>E37</f>
        <v>44.53</v>
      </c>
      <c r="H37" s="1"/>
      <c r="I37" s="2">
        <f>G37</f>
        <v>44.53</v>
      </c>
      <c r="J37" s="1"/>
      <c r="K37" s="2">
        <f>C37</f>
        <v>38.86</v>
      </c>
      <c r="M37" s="38">
        <f>C37+E37+G37+I37+K37</f>
        <v>211.31</v>
      </c>
      <c r="N37" s="38">
        <f t="shared" si="0"/>
        <v>454.31649999999996</v>
      </c>
      <c r="O37" s="38">
        <f t="shared" si="1"/>
        <v>976.78047499999991</v>
      </c>
    </row>
    <row r="38" spans="1:15" x14ac:dyDescent="0.25">
      <c r="L38" s="15" t="s">
        <v>31</v>
      </c>
      <c r="M38" s="15">
        <f>M9+M14+M19+M22+M27+M32+M37</f>
        <v>669.46</v>
      </c>
      <c r="N38" s="15">
        <f>N9+N14+N19+N22+N27+N32+N37</f>
        <v>8240.8099330000005</v>
      </c>
      <c r="O38" s="15">
        <f>O37+O32+O27+O22+O19+O14+O9</f>
        <v>148324.1865829553</v>
      </c>
    </row>
    <row r="42" spans="1:15" x14ac:dyDescent="0.25">
      <c r="A42" s="15" t="s">
        <v>186</v>
      </c>
      <c r="B42" s="15"/>
      <c r="C42" s="15"/>
    </row>
    <row r="46" spans="1:15" x14ac:dyDescent="0.25">
      <c r="B46" t="s">
        <v>159</v>
      </c>
      <c r="C46">
        <v>0.15</v>
      </c>
      <c r="E46" s="53">
        <v>5.8250000000000002</v>
      </c>
      <c r="G46" s="1">
        <v>12.9</v>
      </c>
      <c r="I46" s="53">
        <v>18.562200000000001</v>
      </c>
      <c r="K46" s="1">
        <v>25.83</v>
      </c>
    </row>
    <row r="47" spans="1:15" x14ac:dyDescent="0.25">
      <c r="A47" t="s">
        <v>158</v>
      </c>
    </row>
    <row r="48" spans="1:15" x14ac:dyDescent="0.25">
      <c r="A48" s="1">
        <v>25.03</v>
      </c>
      <c r="G48" s="2">
        <f>rigidezze!L36</f>
        <v>11.7</v>
      </c>
      <c r="H48" s="1"/>
      <c r="I48" s="2">
        <f>rigidezze!L36</f>
        <v>11.7</v>
      </c>
      <c r="J48" s="1"/>
      <c r="K48" s="2">
        <f>rigidezze!L36</f>
        <v>11.7</v>
      </c>
    </row>
    <row r="49" spans="1:11" x14ac:dyDescent="0.25">
      <c r="G49" s="1"/>
      <c r="H49" s="1"/>
      <c r="I49" s="1"/>
      <c r="J49" s="1"/>
      <c r="K49" s="1"/>
    </row>
    <row r="50" spans="1:11" x14ac:dyDescent="0.25">
      <c r="G50" s="1"/>
      <c r="H50" s="1"/>
      <c r="I50" s="1"/>
      <c r="J50" s="1"/>
      <c r="K50" s="1"/>
    </row>
    <row r="51" spans="1:11" x14ac:dyDescent="0.25">
      <c r="G51" s="1"/>
      <c r="H51" s="1"/>
      <c r="I51" s="1"/>
      <c r="J51" s="1"/>
      <c r="K51" s="1"/>
    </row>
    <row r="52" spans="1:11" x14ac:dyDescent="0.25">
      <c r="G52" s="1"/>
      <c r="H52" s="1"/>
      <c r="I52" s="1"/>
      <c r="J52" s="1"/>
      <c r="K52" s="1"/>
    </row>
    <row r="53" spans="1:11" x14ac:dyDescent="0.25">
      <c r="A53" s="54">
        <v>21.352599999999999</v>
      </c>
      <c r="G53" s="2">
        <f>rigidezze!L33</f>
        <v>51.04</v>
      </c>
      <c r="H53" s="1"/>
      <c r="I53" s="2">
        <f>rigidezze!L33</f>
        <v>51.04</v>
      </c>
      <c r="J53" s="1"/>
      <c r="K53" s="2">
        <f>rigidezze!L33</f>
        <v>51.04</v>
      </c>
    </row>
    <row r="54" spans="1:11" x14ac:dyDescent="0.25">
      <c r="G54" s="1"/>
      <c r="H54" s="1"/>
      <c r="I54" s="1"/>
      <c r="J54" s="1"/>
      <c r="K54" s="1"/>
    </row>
    <row r="55" spans="1:11" x14ac:dyDescent="0.25">
      <c r="G55" s="1"/>
      <c r="H55" s="1"/>
      <c r="I55" s="1"/>
      <c r="J55" s="1"/>
      <c r="K55" s="1"/>
    </row>
    <row r="56" spans="1:11" x14ac:dyDescent="0.25">
      <c r="G56" s="1"/>
      <c r="H56" s="1"/>
      <c r="I56" s="1"/>
      <c r="J56" s="1"/>
      <c r="K56" s="1"/>
    </row>
    <row r="57" spans="1:11" x14ac:dyDescent="0.25">
      <c r="G57" s="1"/>
      <c r="H57" s="1"/>
      <c r="I57" s="1"/>
      <c r="J57" s="1"/>
      <c r="K57" s="1"/>
    </row>
    <row r="58" spans="1:11" x14ac:dyDescent="0.25">
      <c r="A58" s="53">
        <v>16.060099999999998</v>
      </c>
      <c r="G58" s="2">
        <f>rigidezze!L35</f>
        <v>12.22</v>
      </c>
      <c r="H58" s="1"/>
      <c r="I58" s="2">
        <f>rigidezze!L35</f>
        <v>12.22</v>
      </c>
      <c r="J58" s="1"/>
      <c r="K58" s="2">
        <f>rigidezze!L35</f>
        <v>12.22</v>
      </c>
    </row>
    <row r="59" spans="1:11" x14ac:dyDescent="0.25">
      <c r="A59" s="16"/>
    </row>
    <row r="60" spans="1:11" x14ac:dyDescent="0.25">
      <c r="A60" s="16"/>
    </row>
    <row r="61" spans="1:11" x14ac:dyDescent="0.25">
      <c r="A61" s="53">
        <v>14.23</v>
      </c>
      <c r="C61" s="2">
        <f>rigidezze!L36</f>
        <v>11.7</v>
      </c>
      <c r="D61" s="1"/>
      <c r="E61" s="2">
        <f>rigidezze!L38</f>
        <v>7.22</v>
      </c>
      <c r="F61" s="1"/>
      <c r="G61" s="2">
        <f>rigidezze!L35</f>
        <v>12.22</v>
      </c>
    </row>
    <row r="62" spans="1:11" x14ac:dyDescent="0.25">
      <c r="A62" s="53"/>
    </row>
    <row r="63" spans="1:11" x14ac:dyDescent="0.25">
      <c r="A63" s="53"/>
    </row>
    <row r="64" spans="1:11" x14ac:dyDescent="0.25">
      <c r="A64" s="53"/>
    </row>
    <row r="65" spans="1:20" x14ac:dyDescent="0.25">
      <c r="A65" s="53"/>
    </row>
    <row r="66" spans="1:20" x14ac:dyDescent="0.25">
      <c r="A66" s="53">
        <v>10.428000000000001</v>
      </c>
      <c r="C66" s="2">
        <f>rigidezze!L33</f>
        <v>51.04</v>
      </c>
      <c r="D66" s="1"/>
      <c r="E66" s="2">
        <f>rigidezze!L39</f>
        <v>28.17</v>
      </c>
      <c r="F66" s="1"/>
      <c r="G66" s="2">
        <f>rigidezze!L33</f>
        <v>51.04</v>
      </c>
      <c r="H66" s="1"/>
      <c r="I66" s="2">
        <f>rigidezze!L33</f>
        <v>51.04</v>
      </c>
      <c r="J66" s="1"/>
      <c r="K66" s="2">
        <f>rigidezze!L33</f>
        <v>51.04</v>
      </c>
    </row>
    <row r="67" spans="1:20" x14ac:dyDescent="0.25">
      <c r="A67" s="53"/>
    </row>
    <row r="68" spans="1:20" x14ac:dyDescent="0.25">
      <c r="A68" s="53"/>
      <c r="C68" s="1"/>
    </row>
    <row r="69" spans="1:20" x14ac:dyDescent="0.25">
      <c r="A69" s="53"/>
      <c r="C69" s="1"/>
    </row>
    <row r="70" spans="1:20" x14ac:dyDescent="0.25">
      <c r="A70" s="53"/>
      <c r="C70" s="1"/>
    </row>
    <row r="71" spans="1:20" x14ac:dyDescent="0.25">
      <c r="A71" s="53">
        <v>6.18</v>
      </c>
      <c r="C71" s="2">
        <f>rigidezze!L33</f>
        <v>51.04</v>
      </c>
      <c r="E71" s="2">
        <f>rigidezze!L34</f>
        <v>41.26</v>
      </c>
      <c r="F71" s="1"/>
      <c r="G71" s="2">
        <f>rigidezze!L33</f>
        <v>51.04</v>
      </c>
      <c r="H71" s="1"/>
      <c r="I71" s="2">
        <f>rigidezze!L33</f>
        <v>51.04</v>
      </c>
      <c r="J71" s="1"/>
      <c r="K71" s="2">
        <f>rigidezze!L33</f>
        <v>51.04</v>
      </c>
    </row>
    <row r="76" spans="1:20" x14ac:dyDescent="0.25">
      <c r="A76" s="1">
        <v>2.15</v>
      </c>
      <c r="C76" s="2">
        <f>rigidezze!L36</f>
        <v>11.7</v>
      </c>
      <c r="E76" s="2">
        <f>C76</f>
        <v>11.7</v>
      </c>
      <c r="F76" s="1"/>
      <c r="G76" s="2">
        <f>C76</f>
        <v>11.7</v>
      </c>
      <c r="H76" s="1"/>
      <c r="I76" s="2">
        <f>C76</f>
        <v>11.7</v>
      </c>
      <c r="J76" s="1"/>
      <c r="K76" s="2">
        <f>C76</f>
        <v>11.7</v>
      </c>
    </row>
    <row r="78" spans="1:20" x14ac:dyDescent="0.25">
      <c r="L78" s="15" t="s">
        <v>31</v>
      </c>
      <c r="N78" t="s">
        <v>168</v>
      </c>
      <c r="O78">
        <f>L80/L79</f>
        <v>14.52084337157787</v>
      </c>
      <c r="P78" t="s">
        <v>172</v>
      </c>
      <c r="Q78">
        <v>15.0975</v>
      </c>
      <c r="S78" s="86" t="s">
        <v>202</v>
      </c>
      <c r="T78">
        <f>Q78-O78</f>
        <v>0.57665662842213017</v>
      </c>
    </row>
    <row r="79" spans="1:20" x14ac:dyDescent="0.25">
      <c r="A79" s="39" t="s">
        <v>160</v>
      </c>
      <c r="B79" s="39"/>
      <c r="C79" s="39">
        <f>C61+C66+C71+C76</f>
        <v>125.48</v>
      </c>
      <c r="D79" s="39"/>
      <c r="E79" s="39">
        <f>E61+E66+E71+E76</f>
        <v>88.350000000000009</v>
      </c>
      <c r="F79" s="39"/>
      <c r="G79" s="39">
        <f>G76+G71+G66+G61+G58+G53+G48</f>
        <v>200.95999999999998</v>
      </c>
      <c r="H79" s="39"/>
      <c r="I79" s="39">
        <f>I76+I71+I66+I58+I53+I48</f>
        <v>188.73999999999998</v>
      </c>
      <c r="J79" s="39"/>
      <c r="K79" s="39">
        <f>K76+K71+K66+K58+K53+K48</f>
        <v>188.73999999999998</v>
      </c>
      <c r="L79" s="15">
        <f>C79+E79+G79+I79+K79</f>
        <v>792.27</v>
      </c>
    </row>
    <row r="80" spans="1:20" x14ac:dyDescent="0.25">
      <c r="A80" s="39" t="s">
        <v>173</v>
      </c>
      <c r="B80" s="39"/>
      <c r="C80" s="39">
        <f>C79*C46</f>
        <v>18.821999999999999</v>
      </c>
      <c r="D80" s="39"/>
      <c r="E80" s="39">
        <f t="shared" ref="E80:K80" si="2">E79*E46</f>
        <v>514.63875000000007</v>
      </c>
      <c r="F80" s="39"/>
      <c r="G80" s="39">
        <f t="shared" si="2"/>
        <v>2592.384</v>
      </c>
      <c r="H80" s="39"/>
      <c r="I80" s="39">
        <f t="shared" si="2"/>
        <v>3503.4296279999999</v>
      </c>
      <c r="J80" s="39"/>
      <c r="K80" s="39">
        <f t="shared" si="2"/>
        <v>4875.154199999999</v>
      </c>
      <c r="L80" s="15">
        <f>C80+E80+G80+I80+K80</f>
        <v>11504.428577999999</v>
      </c>
    </row>
    <row r="81" spans="1:12" x14ac:dyDescent="0.25">
      <c r="A81" s="39" t="s">
        <v>174</v>
      </c>
      <c r="B81" s="39"/>
      <c r="C81" s="39">
        <f>C79*(C46^2)</f>
        <v>2.8233000000000001</v>
      </c>
      <c r="D81" s="39"/>
      <c r="E81" s="39">
        <f t="shared" ref="E81:K81" si="3">E79*(E46^2)</f>
        <v>2997.77071875</v>
      </c>
      <c r="F81" s="39"/>
      <c r="G81" s="39">
        <f t="shared" si="3"/>
        <v>33441.753599999996</v>
      </c>
      <c r="H81" s="39"/>
      <c r="I81" s="39">
        <f t="shared" si="3"/>
        <v>65031.361440861605</v>
      </c>
      <c r="J81" s="39"/>
      <c r="K81" s="39">
        <f t="shared" si="3"/>
        <v>125925.23298599996</v>
      </c>
      <c r="L81" s="15">
        <f>C81+E81+G81+I81+K81</f>
        <v>227398.94204561156</v>
      </c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A55" zoomScale="96" zoomScaleNormal="96" workbookViewId="0">
      <selection activeCell="Q11" sqref="Q11"/>
    </sheetView>
  </sheetViews>
  <sheetFormatPr defaultRowHeight="15" x14ac:dyDescent="0.25"/>
  <cols>
    <col min="17" max="17" width="9.7109375" customWidth="1"/>
  </cols>
  <sheetData>
    <row r="1" spans="1:19" x14ac:dyDescent="0.25">
      <c r="A1" s="15" t="s">
        <v>187</v>
      </c>
      <c r="B1" s="15"/>
      <c r="C1" s="15"/>
    </row>
    <row r="4" spans="1:19" x14ac:dyDescent="0.25">
      <c r="M4" s="15" t="s">
        <v>171</v>
      </c>
      <c r="N4" s="15">
        <f>N38/M38</f>
        <v>12.093137815325406</v>
      </c>
      <c r="O4" s="15" t="s">
        <v>172</v>
      </c>
      <c r="P4" s="15">
        <v>11.94</v>
      </c>
      <c r="R4" t="s">
        <v>248</v>
      </c>
      <c r="S4">
        <f>P4-N4</f>
        <v>-0.15313781532540638</v>
      </c>
    </row>
    <row r="7" spans="1:19" x14ac:dyDescent="0.25">
      <c r="B7" t="s">
        <v>159</v>
      </c>
      <c r="C7">
        <v>0.15</v>
      </c>
      <c r="E7" s="53">
        <v>5.8250000000000002</v>
      </c>
      <c r="G7" s="1">
        <v>12.9</v>
      </c>
      <c r="I7" s="53">
        <v>18.562200000000001</v>
      </c>
      <c r="K7" s="1">
        <v>25.83</v>
      </c>
      <c r="M7" s="38" t="s">
        <v>160</v>
      </c>
      <c r="N7" s="38" t="s">
        <v>166</v>
      </c>
      <c r="O7" s="38" t="s">
        <v>167</v>
      </c>
    </row>
    <row r="8" spans="1:19" x14ac:dyDescent="0.25">
      <c r="A8" t="s">
        <v>158</v>
      </c>
      <c r="M8" s="38"/>
      <c r="N8" s="38"/>
      <c r="O8" s="38"/>
    </row>
    <row r="9" spans="1:19" x14ac:dyDescent="0.25">
      <c r="A9" s="1">
        <v>25.03</v>
      </c>
      <c r="G9" s="2">
        <f>C22</f>
        <v>19.399999999999999</v>
      </c>
      <c r="H9" s="1"/>
      <c r="I9" s="2">
        <f>E37</f>
        <v>27.23</v>
      </c>
      <c r="J9" s="1"/>
      <c r="K9" s="2">
        <f>C22</f>
        <v>19.399999999999999</v>
      </c>
      <c r="M9" s="38">
        <f>G9+I9+K9</f>
        <v>66.03</v>
      </c>
      <c r="N9" s="38">
        <f>M9*A9</f>
        <v>1652.7309</v>
      </c>
      <c r="O9" s="38">
        <f>M9*(A9^2)</f>
        <v>41367.854426999998</v>
      </c>
    </row>
    <row r="10" spans="1:19" x14ac:dyDescent="0.25">
      <c r="G10" s="1"/>
      <c r="H10" s="1"/>
      <c r="I10" s="1"/>
      <c r="J10" s="1"/>
      <c r="K10" s="1"/>
      <c r="M10" s="38"/>
      <c r="N10" s="38"/>
      <c r="O10" s="38"/>
    </row>
    <row r="11" spans="1:19" x14ac:dyDescent="0.25">
      <c r="G11" s="1"/>
      <c r="H11" s="1"/>
      <c r="I11" s="1"/>
      <c r="J11" s="1"/>
      <c r="K11" s="1"/>
      <c r="M11" s="38"/>
      <c r="N11" s="38"/>
      <c r="O11" s="38"/>
    </row>
    <row r="12" spans="1:19" x14ac:dyDescent="0.25">
      <c r="G12" s="1"/>
      <c r="H12" s="1"/>
      <c r="I12" s="1"/>
      <c r="J12" s="1"/>
      <c r="K12" s="1"/>
      <c r="M12" s="38"/>
      <c r="N12" s="38"/>
      <c r="O12" s="38"/>
    </row>
    <row r="13" spans="1:19" x14ac:dyDescent="0.25">
      <c r="G13" s="1"/>
      <c r="H13" s="1"/>
      <c r="I13" s="1"/>
      <c r="J13" s="1"/>
      <c r="K13" s="1"/>
      <c r="M13" s="38"/>
      <c r="N13" s="38"/>
      <c r="O13" s="38"/>
    </row>
    <row r="14" spans="1:19" x14ac:dyDescent="0.25">
      <c r="A14" s="54">
        <v>21.352599999999999</v>
      </c>
      <c r="G14" s="2">
        <v>3.77</v>
      </c>
      <c r="H14" s="1"/>
      <c r="I14" s="2">
        <v>5.51</v>
      </c>
      <c r="J14" s="1"/>
      <c r="K14" s="2">
        <v>3.77</v>
      </c>
      <c r="M14" s="38">
        <f>G14+I14+K14</f>
        <v>13.049999999999999</v>
      </c>
      <c r="N14" s="38">
        <f t="shared" ref="N14:N37" si="0">M14*A14</f>
        <v>278.65142999999995</v>
      </c>
      <c r="O14" s="38">
        <f t="shared" ref="O14:O37" si="1">M14*(A14^2)</f>
        <v>5949.9325242179984</v>
      </c>
    </row>
    <row r="15" spans="1:19" x14ac:dyDescent="0.25">
      <c r="G15" s="1"/>
      <c r="H15" s="1"/>
      <c r="I15" s="1"/>
      <c r="J15" s="1"/>
      <c r="K15" s="1"/>
      <c r="M15" s="38"/>
      <c r="N15" s="38"/>
      <c r="O15" s="38"/>
    </row>
    <row r="16" spans="1:19" x14ac:dyDescent="0.25">
      <c r="G16" s="1"/>
      <c r="H16" s="1"/>
      <c r="I16" s="1"/>
      <c r="J16" s="1"/>
      <c r="K16" s="1"/>
      <c r="M16" s="38"/>
      <c r="N16" s="38"/>
      <c r="O16" s="38"/>
    </row>
    <row r="17" spans="1:15" x14ac:dyDescent="0.25">
      <c r="G17" s="1"/>
      <c r="H17" s="1"/>
      <c r="I17" s="1"/>
      <c r="J17" s="1"/>
      <c r="K17" s="1"/>
      <c r="M17" s="38"/>
      <c r="N17" s="38"/>
      <c r="O17" s="38"/>
    </row>
    <row r="18" spans="1:15" x14ac:dyDescent="0.25">
      <c r="G18" s="1"/>
      <c r="H18" s="1"/>
      <c r="I18" s="1"/>
      <c r="J18" s="1"/>
      <c r="K18" s="1"/>
      <c r="M18" s="38"/>
      <c r="N18" s="38"/>
      <c r="O18" s="38"/>
    </row>
    <row r="19" spans="1:15" x14ac:dyDescent="0.25">
      <c r="A19" s="53">
        <v>16.060099999999998</v>
      </c>
      <c r="G19" s="2">
        <f>C37</f>
        <v>19.399999999999999</v>
      </c>
      <c r="H19" s="1"/>
      <c r="I19" s="2">
        <f>E37</f>
        <v>27.23</v>
      </c>
      <c r="J19" s="1"/>
      <c r="K19" s="2">
        <f>C37</f>
        <v>19.399999999999999</v>
      </c>
      <c r="M19" s="38">
        <f>G19+I19+K19</f>
        <v>66.03</v>
      </c>
      <c r="N19" s="38">
        <f t="shared" si="0"/>
        <v>1060.4484029999999</v>
      </c>
      <c r="O19" s="38">
        <f t="shared" si="1"/>
        <v>17030.907397020295</v>
      </c>
    </row>
    <row r="20" spans="1:15" x14ac:dyDescent="0.25">
      <c r="A20" s="16"/>
      <c r="M20" s="38"/>
      <c r="N20" s="38"/>
      <c r="O20" s="38"/>
    </row>
    <row r="21" spans="1:15" x14ac:dyDescent="0.25">
      <c r="A21" s="16"/>
      <c r="M21" s="38"/>
      <c r="N21" s="38"/>
      <c r="O21" s="38"/>
    </row>
    <row r="22" spans="1:15" x14ac:dyDescent="0.25">
      <c r="A22" s="53">
        <v>14.23</v>
      </c>
      <c r="C22" s="2">
        <f>C37</f>
        <v>19.399999999999999</v>
      </c>
      <c r="D22" s="1"/>
      <c r="E22" s="2">
        <f>E37</f>
        <v>27.23</v>
      </c>
      <c r="F22" s="1"/>
      <c r="G22" s="2">
        <f>C37</f>
        <v>19.399999999999999</v>
      </c>
      <c r="M22" s="38">
        <f>C22+E22+G22</f>
        <v>66.03</v>
      </c>
      <c r="N22" s="38">
        <f t="shared" si="0"/>
        <v>939.6069</v>
      </c>
      <c r="O22" s="38">
        <f t="shared" si="1"/>
        <v>13370.606187000001</v>
      </c>
    </row>
    <row r="23" spans="1:15" x14ac:dyDescent="0.25">
      <c r="A23" s="53"/>
      <c r="M23" s="38"/>
      <c r="N23" s="38"/>
      <c r="O23" s="38"/>
    </row>
    <row r="24" spans="1:15" x14ac:dyDescent="0.25">
      <c r="A24" s="53"/>
      <c r="M24" s="38"/>
      <c r="N24" s="38"/>
      <c r="O24" s="38"/>
    </row>
    <row r="25" spans="1:15" x14ac:dyDescent="0.25">
      <c r="A25" s="53"/>
      <c r="M25" s="38"/>
      <c r="N25" s="38"/>
      <c r="O25" s="38"/>
    </row>
    <row r="26" spans="1:15" x14ac:dyDescent="0.25">
      <c r="A26" s="53"/>
      <c r="M26" s="38"/>
      <c r="N26" s="38"/>
      <c r="O26" s="38"/>
    </row>
    <row r="27" spans="1:15" x14ac:dyDescent="0.25">
      <c r="A27" s="53">
        <v>10.428000000000001</v>
      </c>
      <c r="C27" s="2">
        <v>3.77</v>
      </c>
      <c r="D27" s="1"/>
      <c r="E27" s="2">
        <v>5.51</v>
      </c>
      <c r="F27" s="1"/>
      <c r="G27" s="2">
        <v>5.51</v>
      </c>
      <c r="H27" s="1"/>
      <c r="I27" s="2">
        <v>5.51</v>
      </c>
      <c r="J27" s="1"/>
      <c r="K27" s="2">
        <v>3.77</v>
      </c>
      <c r="M27" s="38">
        <f>C27+E27+G27+I27+K27</f>
        <v>24.069999999999997</v>
      </c>
      <c r="N27" s="38">
        <f t="shared" si="0"/>
        <v>251.00196</v>
      </c>
      <c r="O27" s="38">
        <f t="shared" si="1"/>
        <v>2617.4484388800001</v>
      </c>
    </row>
    <row r="28" spans="1:15" x14ac:dyDescent="0.25">
      <c r="A28" s="53"/>
      <c r="M28" s="38"/>
      <c r="N28" s="38"/>
      <c r="O28" s="38"/>
    </row>
    <row r="29" spans="1:15" x14ac:dyDescent="0.25">
      <c r="A29" s="53"/>
      <c r="C29" s="1"/>
      <c r="M29" s="38"/>
      <c r="N29" s="38"/>
      <c r="O29" s="38"/>
    </row>
    <row r="30" spans="1:15" x14ac:dyDescent="0.25">
      <c r="A30" s="53"/>
      <c r="C30" s="1"/>
      <c r="M30" s="38"/>
      <c r="N30" s="38"/>
      <c r="O30" s="38"/>
    </row>
    <row r="31" spans="1:15" x14ac:dyDescent="0.25">
      <c r="A31" s="53"/>
      <c r="C31" s="1"/>
      <c r="M31" s="38"/>
      <c r="N31" s="38"/>
      <c r="O31" s="38"/>
    </row>
    <row r="32" spans="1:15" x14ac:dyDescent="0.25">
      <c r="A32" s="53">
        <v>6.18</v>
      </c>
      <c r="C32" s="2">
        <v>3.77</v>
      </c>
      <c r="E32" s="2">
        <v>5.51</v>
      </c>
      <c r="F32" s="1"/>
      <c r="G32" s="2">
        <v>5.51</v>
      </c>
      <c r="H32" s="1"/>
      <c r="I32" s="2">
        <v>5.51</v>
      </c>
      <c r="J32" s="1"/>
      <c r="K32" s="2">
        <v>3.37</v>
      </c>
      <c r="M32" s="38">
        <f>C32+E32+G32+I32+K32</f>
        <v>23.669999999999998</v>
      </c>
      <c r="N32" s="38">
        <f t="shared" si="0"/>
        <v>146.28059999999999</v>
      </c>
      <c r="O32" s="38">
        <f t="shared" si="1"/>
        <v>904.01410799999996</v>
      </c>
    </row>
    <row r="33" spans="1:15" x14ac:dyDescent="0.25">
      <c r="A33" s="1"/>
      <c r="M33" s="38"/>
      <c r="N33" s="38"/>
      <c r="O33" s="38"/>
    </row>
    <row r="34" spans="1:15" x14ac:dyDescent="0.25">
      <c r="A34" s="1"/>
      <c r="M34" s="38"/>
      <c r="N34" s="38"/>
      <c r="O34" s="38"/>
    </row>
    <row r="35" spans="1:15" x14ac:dyDescent="0.25">
      <c r="A35" s="1"/>
      <c r="M35" s="38"/>
      <c r="N35" s="38"/>
      <c r="O35" s="38"/>
    </row>
    <row r="36" spans="1:15" x14ac:dyDescent="0.25">
      <c r="A36" s="1"/>
      <c r="M36" s="38"/>
      <c r="N36" s="38"/>
      <c r="O36" s="38"/>
    </row>
    <row r="37" spans="1:15" x14ac:dyDescent="0.25">
      <c r="A37" s="1">
        <v>2.15</v>
      </c>
      <c r="C37" s="2">
        <f>rigidezze!D21</f>
        <v>19.399999999999999</v>
      </c>
      <c r="E37" s="2">
        <f>rigidezze!D20</f>
        <v>27.23</v>
      </c>
      <c r="F37" s="1"/>
      <c r="G37" s="2">
        <f>E37</f>
        <v>27.23</v>
      </c>
      <c r="H37" s="1"/>
      <c r="I37" s="2">
        <f>G37</f>
        <v>27.23</v>
      </c>
      <c r="J37" s="1"/>
      <c r="K37" s="2">
        <f>C37</f>
        <v>19.399999999999999</v>
      </c>
      <c r="M37" s="38">
        <f>C37+E37+G37+I37+K37</f>
        <v>120.49000000000001</v>
      </c>
      <c r="N37" s="38">
        <f t="shared" si="0"/>
        <v>259.05349999999999</v>
      </c>
      <c r="O37" s="38">
        <f t="shared" si="1"/>
        <v>556.96502499999997</v>
      </c>
    </row>
    <row r="38" spans="1:15" x14ac:dyDescent="0.25">
      <c r="L38" s="15" t="s">
        <v>31</v>
      </c>
      <c r="M38" s="15">
        <f>SUM(M9:M37)</f>
        <v>379.37</v>
      </c>
      <c r="N38" s="15">
        <f>N37+N32+N27+N22+N19+N14+N9</f>
        <v>4587.7736929999992</v>
      </c>
      <c r="O38" s="15">
        <f>O37+O32+O27+O22+O19+O14+O9</f>
        <v>81797.728107118295</v>
      </c>
    </row>
    <row r="42" spans="1:15" x14ac:dyDescent="0.25">
      <c r="A42" s="15" t="s">
        <v>188</v>
      </c>
      <c r="B42" s="15"/>
      <c r="C42" s="15"/>
    </row>
    <row r="46" spans="1:15" x14ac:dyDescent="0.25">
      <c r="B46" t="s">
        <v>159</v>
      </c>
      <c r="C46">
        <v>0.15</v>
      </c>
      <c r="E46" s="53">
        <v>5.8250000000000002</v>
      </c>
      <c r="G46" s="1">
        <v>12.9</v>
      </c>
      <c r="I46" s="53">
        <v>18.562200000000001</v>
      </c>
      <c r="K46" s="1">
        <v>25.83</v>
      </c>
    </row>
    <row r="47" spans="1:15" x14ac:dyDescent="0.25">
      <c r="A47" t="s">
        <v>158</v>
      </c>
    </row>
    <row r="48" spans="1:15" x14ac:dyDescent="0.25">
      <c r="A48" s="1">
        <v>25.03</v>
      </c>
      <c r="G48" s="2">
        <f>rigidezze!L23</f>
        <v>10.72</v>
      </c>
      <c r="H48" s="1"/>
      <c r="I48" s="2">
        <f>G48</f>
        <v>10.72</v>
      </c>
      <c r="J48" s="1"/>
      <c r="K48" s="2">
        <f>I48</f>
        <v>10.72</v>
      </c>
    </row>
    <row r="49" spans="1:11" x14ac:dyDescent="0.25">
      <c r="G49" s="1"/>
      <c r="H49" s="1"/>
      <c r="I49" s="1"/>
      <c r="J49" s="1"/>
      <c r="K49" s="1"/>
    </row>
    <row r="50" spans="1:11" x14ac:dyDescent="0.25">
      <c r="G50" s="1"/>
      <c r="H50" s="1"/>
      <c r="I50" s="1"/>
      <c r="J50" s="1"/>
      <c r="K50" s="1"/>
    </row>
    <row r="51" spans="1:11" x14ac:dyDescent="0.25">
      <c r="G51" s="1"/>
      <c r="H51" s="1"/>
      <c r="I51" s="1"/>
      <c r="J51" s="1"/>
      <c r="K51" s="1"/>
    </row>
    <row r="52" spans="1:11" x14ac:dyDescent="0.25">
      <c r="G52" s="1"/>
      <c r="H52" s="1"/>
      <c r="I52" s="1"/>
      <c r="J52" s="1"/>
      <c r="K52" s="1"/>
    </row>
    <row r="53" spans="1:11" x14ac:dyDescent="0.25">
      <c r="A53" s="54">
        <v>21.352599999999999</v>
      </c>
      <c r="G53" s="2">
        <f>rigidezze!L20</f>
        <v>33.71</v>
      </c>
      <c r="H53" s="1"/>
      <c r="I53" s="2">
        <f>G53</f>
        <v>33.71</v>
      </c>
      <c r="J53" s="1"/>
      <c r="K53" s="2">
        <f>G53</f>
        <v>33.71</v>
      </c>
    </row>
    <row r="54" spans="1:11" x14ac:dyDescent="0.25">
      <c r="G54" s="1"/>
      <c r="H54" s="1"/>
      <c r="I54" s="1"/>
      <c r="J54" s="1"/>
      <c r="K54" s="1"/>
    </row>
    <row r="55" spans="1:11" x14ac:dyDescent="0.25">
      <c r="G55" s="1"/>
      <c r="H55" s="1"/>
      <c r="I55" s="1"/>
      <c r="J55" s="1"/>
      <c r="K55" s="1"/>
    </row>
    <row r="56" spans="1:11" x14ac:dyDescent="0.25">
      <c r="G56" s="1"/>
      <c r="H56" s="1"/>
      <c r="I56" s="1"/>
      <c r="J56" s="1"/>
      <c r="K56" s="1"/>
    </row>
    <row r="57" spans="1:11" x14ac:dyDescent="0.25">
      <c r="G57" s="1"/>
      <c r="H57" s="1"/>
      <c r="I57" s="1"/>
      <c r="J57" s="1"/>
      <c r="K57" s="1"/>
    </row>
    <row r="58" spans="1:11" x14ac:dyDescent="0.25">
      <c r="A58" s="53">
        <v>16.060099999999998</v>
      </c>
      <c r="G58" s="2">
        <f>G61</f>
        <v>11.51</v>
      </c>
      <c r="H58" s="1"/>
      <c r="I58" s="2">
        <f>G58</f>
        <v>11.51</v>
      </c>
      <c r="J58" s="1"/>
      <c r="K58" s="2">
        <f>I58</f>
        <v>11.51</v>
      </c>
    </row>
    <row r="59" spans="1:11" x14ac:dyDescent="0.25">
      <c r="A59" s="16"/>
    </row>
    <row r="60" spans="1:11" x14ac:dyDescent="0.25">
      <c r="A60" s="16"/>
    </row>
    <row r="61" spans="1:11" x14ac:dyDescent="0.25">
      <c r="A61" s="53">
        <v>14.23</v>
      </c>
      <c r="C61" s="2">
        <f>rigidezze!L23</f>
        <v>10.72</v>
      </c>
      <c r="D61" s="1"/>
      <c r="E61" s="2">
        <f>rigidezze!L25</f>
        <v>4.95</v>
      </c>
      <c r="F61" s="1"/>
      <c r="G61" s="2">
        <f>rigidezze!L22</f>
        <v>11.51</v>
      </c>
    </row>
    <row r="62" spans="1:11" x14ac:dyDescent="0.25">
      <c r="A62" s="53"/>
    </row>
    <row r="63" spans="1:11" x14ac:dyDescent="0.25">
      <c r="A63" s="53"/>
    </row>
    <row r="64" spans="1:11" x14ac:dyDescent="0.25">
      <c r="A64" s="53"/>
    </row>
    <row r="65" spans="1:20" x14ac:dyDescent="0.25">
      <c r="A65" s="53"/>
    </row>
    <row r="66" spans="1:20" x14ac:dyDescent="0.25">
      <c r="A66" s="53">
        <v>10.428000000000001</v>
      </c>
      <c r="C66" s="2">
        <f>C71</f>
        <v>33.71</v>
      </c>
      <c r="D66" s="1"/>
      <c r="E66" s="2">
        <f>rigidezze!L26</f>
        <v>11.62</v>
      </c>
      <c r="F66" s="1"/>
      <c r="G66" s="2">
        <f>C66</f>
        <v>33.71</v>
      </c>
      <c r="H66" s="1"/>
      <c r="I66" s="2">
        <f>G66</f>
        <v>33.71</v>
      </c>
      <c r="J66" s="1"/>
      <c r="K66" s="2">
        <f>I66</f>
        <v>33.71</v>
      </c>
    </row>
    <row r="67" spans="1:20" x14ac:dyDescent="0.25">
      <c r="A67" s="53"/>
    </row>
    <row r="68" spans="1:20" x14ac:dyDescent="0.25">
      <c r="A68" s="53"/>
      <c r="C68" s="1"/>
    </row>
    <row r="69" spans="1:20" x14ac:dyDescent="0.25">
      <c r="A69" s="53"/>
      <c r="C69" s="1"/>
    </row>
    <row r="70" spans="1:20" x14ac:dyDescent="0.25">
      <c r="A70" s="53"/>
      <c r="C70" s="1"/>
    </row>
    <row r="71" spans="1:20" x14ac:dyDescent="0.25">
      <c r="A71" s="53">
        <v>6.18</v>
      </c>
      <c r="C71" s="2">
        <f>rigidezze!L20</f>
        <v>33.71</v>
      </c>
      <c r="E71" s="2">
        <f>rigidezze!L21</f>
        <v>23.93</v>
      </c>
      <c r="F71" s="1"/>
      <c r="G71" s="2">
        <f>rigidezze!L20</f>
        <v>33.71</v>
      </c>
      <c r="H71" s="1"/>
      <c r="I71" s="2">
        <f>G71</f>
        <v>33.71</v>
      </c>
      <c r="J71" s="1"/>
      <c r="K71" s="2">
        <f>I71</f>
        <v>33.71</v>
      </c>
    </row>
    <row r="76" spans="1:20" x14ac:dyDescent="0.25">
      <c r="A76" s="1">
        <v>2.15</v>
      </c>
      <c r="C76" s="2">
        <f>rigidezze!L23</f>
        <v>10.72</v>
      </c>
      <c r="E76" s="2">
        <f>C76</f>
        <v>10.72</v>
      </c>
      <c r="F76" s="1"/>
      <c r="G76" s="2">
        <f>E76</f>
        <v>10.72</v>
      </c>
      <c r="H76" s="1"/>
      <c r="I76" s="2">
        <f>G76</f>
        <v>10.72</v>
      </c>
      <c r="J76" s="1"/>
      <c r="K76" s="2">
        <f>I76</f>
        <v>10.72</v>
      </c>
    </row>
    <row r="78" spans="1:20" x14ac:dyDescent="0.25">
      <c r="L78" s="15" t="s">
        <v>31</v>
      </c>
    </row>
    <row r="79" spans="1:20" x14ac:dyDescent="0.25">
      <c r="A79" s="39" t="s">
        <v>160</v>
      </c>
      <c r="B79" s="39"/>
      <c r="C79" s="39">
        <f>SUM(C61:C76)</f>
        <v>88.86</v>
      </c>
      <c r="D79" s="39"/>
      <c r="E79" s="39">
        <f>SUM(E61:E76)</f>
        <v>51.22</v>
      </c>
      <c r="F79" s="39"/>
      <c r="G79" s="39">
        <f>SUM(G48:G76)</f>
        <v>145.59</v>
      </c>
      <c r="H79" s="39"/>
      <c r="I79" s="39">
        <f>SUM(I48:I76)</f>
        <v>134.08000000000001</v>
      </c>
      <c r="J79" s="39"/>
      <c r="K79" s="39">
        <f>SUM(K48:K76)</f>
        <v>134.08000000000001</v>
      </c>
      <c r="L79" s="15">
        <f>SUM(C79:K79)</f>
        <v>553.83000000000004</v>
      </c>
      <c r="N79" t="s">
        <v>168</v>
      </c>
      <c r="O79">
        <f>L80/L79</f>
        <v>14.701086391130852</v>
      </c>
      <c r="P79" t="s">
        <v>169</v>
      </c>
      <c r="Q79" s="88">
        <v>15.061</v>
      </c>
      <c r="S79" t="s">
        <v>247</v>
      </c>
      <c r="T79" s="88">
        <f>Q79-O79</f>
        <v>0.35991360886914769</v>
      </c>
    </row>
    <row r="80" spans="1:20" x14ac:dyDescent="0.25">
      <c r="A80" s="39" t="s">
        <v>173</v>
      </c>
      <c r="B80" s="39"/>
      <c r="C80" s="39">
        <f>C79*C46</f>
        <v>13.328999999999999</v>
      </c>
      <c r="D80" s="39"/>
      <c r="E80" s="39">
        <f t="shared" ref="E80:K80" si="2">E79*E46</f>
        <v>298.35649999999998</v>
      </c>
      <c r="F80" s="39"/>
      <c r="G80" s="39">
        <f t="shared" si="2"/>
        <v>1878.1110000000001</v>
      </c>
      <c r="H80" s="39"/>
      <c r="I80" s="39">
        <f t="shared" si="2"/>
        <v>2488.8197760000003</v>
      </c>
      <c r="J80" s="39"/>
      <c r="K80" s="39">
        <f t="shared" si="2"/>
        <v>3463.2864</v>
      </c>
      <c r="L80" s="15">
        <f>SUM(C80:K80)</f>
        <v>8141.9026760000006</v>
      </c>
    </row>
    <row r="81" spans="1:12" x14ac:dyDescent="0.25">
      <c r="A81" s="39" t="s">
        <v>174</v>
      </c>
      <c r="B81" s="39"/>
      <c r="C81" s="39">
        <f>C79*(C46^2)</f>
        <v>1.99935</v>
      </c>
      <c r="D81" s="39"/>
      <c r="E81" s="39">
        <f t="shared" ref="E81:K81" si="3">E79*(E46^2)</f>
        <v>1737.9266124999999</v>
      </c>
      <c r="F81" s="39"/>
      <c r="G81" s="39">
        <f t="shared" si="3"/>
        <v>24227.6319</v>
      </c>
      <c r="H81" s="39"/>
      <c r="I81" s="39">
        <f t="shared" si="3"/>
        <v>46197.970446067215</v>
      </c>
      <c r="J81" s="39"/>
      <c r="K81" s="39">
        <f t="shared" si="3"/>
        <v>89456.687711999984</v>
      </c>
      <c r="L81" s="15">
        <f>SUM(C81:K81)</f>
        <v>161622.2160205672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9"/>
  <sheetViews>
    <sheetView zoomScale="98" zoomScaleNormal="98" workbookViewId="0">
      <selection activeCell="I11" sqref="I11:I12"/>
    </sheetView>
  </sheetViews>
  <sheetFormatPr defaultRowHeight="15" x14ac:dyDescent="0.25"/>
  <cols>
    <col min="5" max="5" width="11.7109375" customWidth="1"/>
  </cols>
  <sheetData>
    <row r="3" spans="2:9" x14ac:dyDescent="0.25">
      <c r="B3" s="9" t="s">
        <v>143</v>
      </c>
      <c r="C3" s="9" t="s">
        <v>178</v>
      </c>
      <c r="D3" s="9" t="s">
        <v>179</v>
      </c>
      <c r="E3" s="9" t="s">
        <v>176</v>
      </c>
      <c r="F3" s="9" t="s">
        <v>163</v>
      </c>
      <c r="G3" s="9" t="s">
        <v>177</v>
      </c>
      <c r="H3" s="9" t="s">
        <v>164</v>
      </c>
      <c r="I3" s="9" t="s">
        <v>296</v>
      </c>
    </row>
    <row r="4" spans="2:9" x14ac:dyDescent="0.25">
      <c r="B4" s="8" t="s">
        <v>175</v>
      </c>
      <c r="C4" s="9">
        <f>rigidezze!B46</f>
        <v>379.77</v>
      </c>
      <c r="D4" s="8">
        <f>rigidezze!C46</f>
        <v>553.83000000000004</v>
      </c>
      <c r="E4" s="21">
        <f>'bilanci rigi IV impalcato'!O79</f>
        <v>14.701086391130852</v>
      </c>
      <c r="F4" s="61">
        <f>'bilanci rigi IV impalcato'!N4</f>
        <v>12.093137815325406</v>
      </c>
      <c r="G4" s="21">
        <f>'bilanci rigi IV impalcato'!Q79</f>
        <v>15.061</v>
      </c>
      <c r="H4" s="109">
        <f>'bilanci rigi IV impalcato'!$P$4</f>
        <v>11.94</v>
      </c>
      <c r="I4" s="9">
        <v>9.9629999999999992</v>
      </c>
    </row>
    <row r="5" spans="2:9" x14ac:dyDescent="0.25">
      <c r="B5" s="8">
        <v>5</v>
      </c>
      <c r="C5" s="9">
        <f>rigidezze!B47</f>
        <v>400.92</v>
      </c>
      <c r="D5" s="8">
        <f>rigidezze!C47</f>
        <v>643.69000000000005</v>
      </c>
      <c r="E5" s="21">
        <f>'bilanc.rigidezze I'!$N$79</f>
        <v>14.820891497459959</v>
      </c>
      <c r="F5" s="61">
        <f>'bilanc.rigidezze I'!$N$4</f>
        <v>12.049754798962388</v>
      </c>
      <c r="G5" s="21">
        <f>'bilanc.rigidezze I'!$P$79</f>
        <v>15.12</v>
      </c>
      <c r="H5" s="8">
        <f>'bilanc.rigidezze I'!$P$4</f>
        <v>11.99</v>
      </c>
      <c r="I5" s="21">
        <v>10.1759</v>
      </c>
    </row>
    <row r="6" spans="2:9" x14ac:dyDescent="0.25">
      <c r="B6" s="8">
        <v>4</v>
      </c>
      <c r="C6" s="9">
        <f>rigidezze!B48</f>
        <v>400.92</v>
      </c>
      <c r="D6" s="8">
        <f>rigidezze!C48</f>
        <v>643.69000000000005</v>
      </c>
      <c r="E6" s="21">
        <f>'bilanc.rigidezze I'!$N$79</f>
        <v>14.820891497459959</v>
      </c>
      <c r="F6" s="61">
        <f>'bilanc.rigidezze I'!$N$4</f>
        <v>12.049754798962388</v>
      </c>
      <c r="G6" s="21">
        <f>'bilanc.rigidezze I'!$P$79</f>
        <v>15.12</v>
      </c>
      <c r="H6" s="8">
        <f>'bilanc.rigidezze I'!$P$4</f>
        <v>11.99</v>
      </c>
      <c r="I6" s="21">
        <f>$I$5</f>
        <v>10.1759</v>
      </c>
    </row>
    <row r="7" spans="2:9" x14ac:dyDescent="0.25">
      <c r="B7" s="8">
        <v>3</v>
      </c>
      <c r="C7" s="9">
        <f>rigidezze!B49</f>
        <v>400.92</v>
      </c>
      <c r="D7" s="8">
        <f>rigidezze!C49</f>
        <v>643.69000000000005</v>
      </c>
      <c r="E7" s="21">
        <f>'bilanc.rigidezze I'!$N$79</f>
        <v>14.820891497459959</v>
      </c>
      <c r="F7" s="61">
        <f>'bilanc.rigidezze I'!$N$4</f>
        <v>12.049754798962388</v>
      </c>
      <c r="G7" s="21">
        <f>'bilanc.rigidezze I'!$P$79</f>
        <v>15.12</v>
      </c>
      <c r="H7" s="8">
        <f>'bilanc.rigidezze I'!$P$4</f>
        <v>11.99</v>
      </c>
      <c r="I7" s="21">
        <f t="shared" ref="I7:I8" si="0">$I$5</f>
        <v>10.1759</v>
      </c>
    </row>
    <row r="8" spans="2:9" x14ac:dyDescent="0.25">
      <c r="B8" s="8">
        <v>2</v>
      </c>
      <c r="C8" s="9">
        <f>rigidezze!B50</f>
        <v>400.92</v>
      </c>
      <c r="D8" s="8">
        <f>rigidezze!C50</f>
        <v>643.69000000000005</v>
      </c>
      <c r="E8" s="21">
        <f>'bilanc.rigidezze I'!$N$79</f>
        <v>14.820891497459959</v>
      </c>
      <c r="F8" s="61">
        <f>'bilanc.rigidezze I'!$N$4</f>
        <v>12.049754798962388</v>
      </c>
      <c r="G8" s="21">
        <f>'bilanc.rigidezze I'!$P$79</f>
        <v>15.12</v>
      </c>
      <c r="H8" s="8">
        <f>'bilanc.rigidezze I'!$P$4</f>
        <v>11.99</v>
      </c>
      <c r="I8" s="21">
        <f t="shared" si="0"/>
        <v>10.1759</v>
      </c>
    </row>
    <row r="9" spans="2:9" x14ac:dyDescent="0.25">
      <c r="B9" s="8">
        <v>1</v>
      </c>
      <c r="C9" s="9">
        <f>rigidezze!B51</f>
        <v>669.45999999999992</v>
      </c>
      <c r="D9" s="8">
        <f>rigidezze!C51</f>
        <v>764.09999999999991</v>
      </c>
      <c r="E9" s="21">
        <f>'bilanc.rigid piano interrato'!O78</f>
        <v>14.52084337157787</v>
      </c>
      <c r="F9" s="61">
        <f>'bilanc.rigid piano interrato'!N4</f>
        <v>12.309637518298331</v>
      </c>
      <c r="G9" s="61">
        <f>'bilanc.rigid piano interrato'!Q78</f>
        <v>15.0975</v>
      </c>
      <c r="H9" s="109">
        <f>'bilanc.rigid piano interrato'!P4</f>
        <v>11.9132</v>
      </c>
      <c r="I9" s="9">
        <v>9.73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zoomScale="92" zoomScaleNormal="92" workbookViewId="0">
      <selection activeCell="D13" sqref="D13"/>
    </sheetView>
  </sheetViews>
  <sheetFormatPr defaultRowHeight="15" x14ac:dyDescent="0.25"/>
  <cols>
    <col min="1" max="1" width="14" customWidth="1"/>
    <col min="2" max="2" width="17.28515625" customWidth="1"/>
    <col min="3" max="3" width="20.42578125" customWidth="1"/>
    <col min="4" max="4" width="19" customWidth="1"/>
    <col min="5" max="5" width="13.42578125" customWidth="1"/>
  </cols>
  <sheetData>
    <row r="1" spans="1:5" x14ac:dyDescent="0.25">
      <c r="A1" s="62" t="s">
        <v>0</v>
      </c>
      <c r="B1" s="2" t="s">
        <v>189</v>
      </c>
      <c r="C1" s="2" t="s">
        <v>192</v>
      </c>
      <c r="D1" s="2" t="s">
        <v>191</v>
      </c>
      <c r="E1" s="2" t="s">
        <v>1</v>
      </c>
    </row>
    <row r="2" spans="1:5" x14ac:dyDescent="0.25">
      <c r="A2" s="62" t="s">
        <v>2</v>
      </c>
      <c r="B2" s="62">
        <v>502.5</v>
      </c>
      <c r="C2" s="62">
        <v>9</v>
      </c>
      <c r="D2" s="62">
        <f>B2*C2</f>
        <v>4522.5</v>
      </c>
      <c r="E2" s="63">
        <f>D2/9.81</f>
        <v>461.00917431192659</v>
      </c>
    </row>
    <row r="3" spans="1:5" x14ac:dyDescent="0.25">
      <c r="A3" s="62">
        <v>5</v>
      </c>
      <c r="B3" s="62">
        <v>575.1</v>
      </c>
      <c r="C3" s="62">
        <v>10</v>
      </c>
      <c r="D3" s="63">
        <f t="shared" ref="D3:D7" si="0">B3*C3</f>
        <v>5751</v>
      </c>
      <c r="E3" s="63">
        <f t="shared" ref="E3:E8" si="1">D3/9.81</f>
        <v>586.23853211009168</v>
      </c>
    </row>
    <row r="4" spans="1:5" x14ac:dyDescent="0.25">
      <c r="A4" s="62">
        <v>4</v>
      </c>
      <c r="B4" s="62">
        <v>575.1</v>
      </c>
      <c r="C4" s="62">
        <v>10</v>
      </c>
      <c r="D4" s="63">
        <f t="shared" si="0"/>
        <v>5751</v>
      </c>
      <c r="E4" s="63">
        <f t="shared" si="1"/>
        <v>586.23853211009168</v>
      </c>
    </row>
    <row r="5" spans="1:5" x14ac:dyDescent="0.25">
      <c r="A5" s="62">
        <v>3</v>
      </c>
      <c r="B5" s="62">
        <v>575.1</v>
      </c>
      <c r="C5" s="62">
        <v>10</v>
      </c>
      <c r="D5" s="63">
        <f t="shared" si="0"/>
        <v>5751</v>
      </c>
      <c r="E5" s="63">
        <f t="shared" si="1"/>
        <v>586.23853211009168</v>
      </c>
    </row>
    <row r="6" spans="1:5" x14ac:dyDescent="0.25">
      <c r="A6" s="62">
        <v>2</v>
      </c>
      <c r="B6" s="62">
        <v>575.1</v>
      </c>
      <c r="C6" s="62">
        <v>10</v>
      </c>
      <c r="D6" s="63">
        <f t="shared" si="0"/>
        <v>5751</v>
      </c>
      <c r="E6" s="63">
        <f t="shared" si="1"/>
        <v>586.23853211009168</v>
      </c>
    </row>
    <row r="7" spans="1:5" x14ac:dyDescent="0.25">
      <c r="A7" s="62">
        <v>1</v>
      </c>
      <c r="B7" s="62">
        <v>472.3</v>
      </c>
      <c r="C7" s="62">
        <v>10</v>
      </c>
      <c r="D7" s="63">
        <f t="shared" si="0"/>
        <v>4723</v>
      </c>
      <c r="E7" s="63">
        <f t="shared" si="1"/>
        <v>481.44750254841995</v>
      </c>
    </row>
    <row r="8" spans="1:5" x14ac:dyDescent="0.25">
      <c r="A8" s="62" t="s">
        <v>3</v>
      </c>
      <c r="B8" s="64"/>
      <c r="C8" s="64"/>
      <c r="D8" s="63">
        <f>SUM(D2:D7)</f>
        <v>32249.5</v>
      </c>
      <c r="E8" s="63">
        <f t="shared" si="1"/>
        <v>3287.4108053007135</v>
      </c>
    </row>
    <row r="11" spans="1:5" x14ac:dyDescent="0.25">
      <c r="A11" s="2" t="s">
        <v>4</v>
      </c>
      <c r="B11" s="2">
        <v>7.4999999999999997E-2</v>
      </c>
    </row>
    <row r="12" spans="1:5" x14ac:dyDescent="0.25">
      <c r="A12" s="2" t="s">
        <v>5</v>
      </c>
      <c r="B12" s="2">
        <v>20</v>
      </c>
    </row>
    <row r="13" spans="1:5" x14ac:dyDescent="0.25">
      <c r="A13" s="2" t="s">
        <v>6</v>
      </c>
      <c r="B13" s="3">
        <v>0.90300000000000002</v>
      </c>
    </row>
    <row r="14" spans="1:5" x14ac:dyDescent="0.25">
      <c r="A14" s="2" t="s">
        <v>7</v>
      </c>
      <c r="B14" s="2">
        <v>6.6000000000000003E-2</v>
      </c>
      <c r="C14" t="s">
        <v>92</v>
      </c>
    </row>
    <row r="15" spans="1:5" x14ac:dyDescent="0.25">
      <c r="A15" s="2" t="s">
        <v>8</v>
      </c>
      <c r="B15" s="4">
        <f>0.85*D8*B14</f>
        <v>1809.1969500000002</v>
      </c>
    </row>
    <row r="16" spans="1:5" x14ac:dyDescent="0.25">
      <c r="A16" s="1"/>
    </row>
    <row r="19" spans="1:6" x14ac:dyDescent="0.25">
      <c r="A19" s="65" t="s">
        <v>0</v>
      </c>
      <c r="B19" s="65" t="s">
        <v>193</v>
      </c>
      <c r="C19" s="65" t="s">
        <v>190</v>
      </c>
      <c r="D19" s="65" t="s">
        <v>194</v>
      </c>
      <c r="E19" s="65" t="s">
        <v>214</v>
      </c>
      <c r="F19" s="65" t="s">
        <v>196</v>
      </c>
    </row>
    <row r="20" spans="1:6" x14ac:dyDescent="0.25">
      <c r="A20" s="65" t="s">
        <v>10</v>
      </c>
      <c r="B20" s="65">
        <f t="shared" ref="B20:B25" si="2">D2</f>
        <v>4522.5</v>
      </c>
      <c r="C20" s="65">
        <f>C21+3.3</f>
        <v>20</v>
      </c>
      <c r="D20" s="66">
        <f>B20*C20</f>
        <v>90450</v>
      </c>
      <c r="E20" s="67">
        <f>D20/$D$26*$B$15</f>
        <v>433.74403225079692</v>
      </c>
      <c r="F20" s="68">
        <f>E20</f>
        <v>433.74403225079692</v>
      </c>
    </row>
    <row r="21" spans="1:6" x14ac:dyDescent="0.25">
      <c r="A21" s="65">
        <v>5</v>
      </c>
      <c r="B21" s="68">
        <f t="shared" si="2"/>
        <v>5751</v>
      </c>
      <c r="C21" s="65">
        <f>C22+3.3</f>
        <v>16.7</v>
      </c>
      <c r="D21" s="66">
        <f t="shared" ref="D21:D25" si="3">B21*C21</f>
        <v>96041.7</v>
      </c>
      <c r="E21" s="68">
        <f t="shared" ref="E21:E25" si="4">D21/$D$26*$B$15</f>
        <v>460.55847675203273</v>
      </c>
      <c r="F21" s="68">
        <f>F20+E21</f>
        <v>894.30250900282965</v>
      </c>
    </row>
    <row r="22" spans="1:6" x14ac:dyDescent="0.25">
      <c r="A22" s="65">
        <v>4</v>
      </c>
      <c r="B22" s="68">
        <f t="shared" si="2"/>
        <v>5751</v>
      </c>
      <c r="C22" s="65">
        <f>C23+3.3</f>
        <v>13.399999999999999</v>
      </c>
      <c r="D22" s="66">
        <f t="shared" si="3"/>
        <v>77063.399999999994</v>
      </c>
      <c r="E22" s="68">
        <f t="shared" si="4"/>
        <v>369.54991547767895</v>
      </c>
      <c r="F22" s="68">
        <f>F21+E22</f>
        <v>1263.8524244805085</v>
      </c>
    </row>
    <row r="23" spans="1:6" x14ac:dyDescent="0.25">
      <c r="A23" s="65">
        <v>3</v>
      </c>
      <c r="B23" s="68">
        <f t="shared" si="2"/>
        <v>5751</v>
      </c>
      <c r="C23" s="65">
        <f>C24+3.3</f>
        <v>10.1</v>
      </c>
      <c r="D23" s="66">
        <f t="shared" si="3"/>
        <v>58085.1</v>
      </c>
      <c r="E23" s="68">
        <f t="shared" si="4"/>
        <v>278.54135420332523</v>
      </c>
      <c r="F23" s="68">
        <f>F22+E23</f>
        <v>1542.3937786838337</v>
      </c>
    </row>
    <row r="24" spans="1:6" x14ac:dyDescent="0.25">
      <c r="A24" s="65">
        <v>2</v>
      </c>
      <c r="B24" s="68">
        <f t="shared" si="2"/>
        <v>5751</v>
      </c>
      <c r="C24" s="65">
        <f>C25+3.3</f>
        <v>6.8</v>
      </c>
      <c r="D24" s="66">
        <f t="shared" si="3"/>
        <v>39106.799999999996</v>
      </c>
      <c r="E24" s="68">
        <f t="shared" si="4"/>
        <v>187.53279292897142</v>
      </c>
      <c r="F24" s="68">
        <f>F23+E24</f>
        <v>1729.9265716128052</v>
      </c>
    </row>
    <row r="25" spans="1:6" x14ac:dyDescent="0.25">
      <c r="A25" s="65">
        <v>1</v>
      </c>
      <c r="B25" s="68">
        <f t="shared" si="2"/>
        <v>4723</v>
      </c>
      <c r="C25" s="65">
        <v>3.5</v>
      </c>
      <c r="D25" s="66">
        <f t="shared" si="3"/>
        <v>16530.5</v>
      </c>
      <c r="E25" s="68">
        <f t="shared" si="4"/>
        <v>79.270378387195123</v>
      </c>
      <c r="F25" s="68">
        <f>F24+E25</f>
        <v>1809.1969500000002</v>
      </c>
    </row>
    <row r="26" spans="1:6" x14ac:dyDescent="0.25">
      <c r="A26" s="65" t="s">
        <v>11</v>
      </c>
      <c r="B26" s="69"/>
      <c r="C26" s="69"/>
      <c r="D26" s="66">
        <f>SUM(D20:D25)</f>
        <v>377277.49999999994</v>
      </c>
      <c r="E26" s="69"/>
      <c r="F26" s="6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15</vt:i4>
      </vt:variant>
    </vt:vector>
  </HeadingPairs>
  <TitlesOfParts>
    <vt:vector size="15" baseType="lpstr">
      <vt:lpstr>carichi unitari</vt:lpstr>
      <vt:lpstr>masse e forze</vt:lpstr>
      <vt:lpstr>car.sollecitazione</vt:lpstr>
      <vt:lpstr>rigidezze</vt:lpstr>
      <vt:lpstr>bilanc.rigidezze I</vt:lpstr>
      <vt:lpstr>bilanc.rigid piano interrato</vt:lpstr>
      <vt:lpstr>bilanci rigi IV impalcato</vt:lpstr>
      <vt:lpstr>Centro di rigidezza</vt:lpstr>
      <vt:lpstr>masse e forze direzione x</vt:lpstr>
      <vt:lpstr>car.sollecitazione  direzione x</vt:lpstr>
      <vt:lpstr>masse e forze direzione y</vt:lpstr>
      <vt:lpstr>car.sollecitazione direzione y</vt:lpstr>
      <vt:lpstr>Confronti</vt:lpstr>
      <vt:lpstr>Confronti rigidezze telai x</vt:lpstr>
      <vt:lpstr>Confronto rigidezze telai 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Purrazzo</dc:creator>
  <cp:lastModifiedBy>Purrazzo</cp:lastModifiedBy>
  <dcterms:created xsi:type="dcterms:W3CDTF">2016-11-13T15:37:02Z</dcterms:created>
  <dcterms:modified xsi:type="dcterms:W3CDTF">2017-03-13T09:50:22Z</dcterms:modified>
</cp:coreProperties>
</file>